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ghav/Documents/Cal Poly/BUS 434/Arora_Heflin_Silva_Windham_FinalProject/"/>
    </mc:Choice>
  </mc:AlternateContent>
  <xr:revisionPtr revIDLastSave="0" documentId="13_ncr:1_{214F3DE6-8826-BC4D-A770-10BD8D78125E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Read Me" sheetId="1" r:id="rId1"/>
    <sheet name="Assumptions" sheetId="2" r:id="rId2"/>
    <sheet name="Pro Forma" sheetId="3" r:id="rId3"/>
    <sheet name="30 Year Fixed Mortgage (USED)" sheetId="6" r:id="rId4"/>
    <sheet name="Interest Only Mortgage (UNUSED)" sheetId="9" r:id="rId5"/>
    <sheet name="Depreciation Schedule" sheetId="7" r:id="rId6"/>
    <sheet name="Sensitivity Analysis" sheetId="4" r:id="rId7"/>
    <sheet name="Works Cited" sheetId="5" r:id="rId8"/>
  </sheets>
  <definedNames>
    <definedName name="CapRate">Assumptions!$E$2</definedName>
    <definedName name="captax" localSheetId="4">'Interest Only Mortgage (UNUSED)'!$D$6</definedName>
    <definedName name="captax">'30 Year Fixed Mortgage (USED)'!$D$6</definedName>
    <definedName name="depcostbasis" localSheetId="4">'Interest Only Mortgage (UNUSED)'!$D$4</definedName>
    <definedName name="depcostbasis">'30 Year Fixed Mortgage (USED)'!$D$4</definedName>
    <definedName name="deplife" localSheetId="4">'Interest Only Mortgage (UNUSED)'!$H$4</definedName>
    <definedName name="deplife">'30 Year Fixed Mortgage (USED)'!$H$4</definedName>
    <definedName name="FirstYearIncome">Assumptions!$E$9</definedName>
    <definedName name="growthrate" localSheetId="4">'Interest Only Mortgage (UNUSED)'!$H$3</definedName>
    <definedName name="growthrate">'30 Year Fixed Mortgage (USED)'!$H$3</definedName>
    <definedName name="LeaseTerm">#REF!</definedName>
    <definedName name="OrdTax" localSheetId="4">'Interest Only Mortgage (UNUSED)'!$D$5</definedName>
    <definedName name="OrdTax">'30 Year Fixed Mortgage (USED)'!$D$5</definedName>
    <definedName name="purchaseprice" localSheetId="4">'Interest Only Mortgage (UNUSED)'!$D$3</definedName>
    <definedName name="purchaseprice">'30 Year Fixed Mortgage (USED)'!$D$3</definedName>
    <definedName name="TotalYears">Assumptions!$E$7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bkrJVqqc2BbWBy05mE2gMf1YpTA=="/>
    </ext>
  </extLst>
</workbook>
</file>

<file path=xl/calcChain.xml><?xml version="1.0" encoding="utf-8"?>
<calcChain xmlns="http://schemas.openxmlformats.org/spreadsheetml/2006/main">
  <c r="D4" i="6" l="1"/>
  <c r="E22" i="6" s="1"/>
  <c r="E22" i="9"/>
  <c r="E24" i="9" s="1"/>
  <c r="K6" i="9" l="1"/>
  <c r="K4" i="9"/>
  <c r="C59" i="9"/>
  <c r="C56" i="9"/>
  <c r="C44" i="9"/>
  <c r="C41" i="9"/>
  <c r="S22" i="9"/>
  <c r="H5" i="9"/>
  <c r="H6" i="9" s="1"/>
  <c r="D4" i="9"/>
  <c r="K22" i="9" s="1"/>
  <c r="D3" i="9"/>
  <c r="H5" i="6"/>
  <c r="D3" i="6"/>
  <c r="K4" i="6" s="1"/>
  <c r="K6" i="6" s="1"/>
  <c r="P22" i="6"/>
  <c r="P49" i="6" s="1"/>
  <c r="O22" i="6"/>
  <c r="O33" i="6" s="1"/>
  <c r="S22" i="6"/>
  <c r="S33" i="6" s="1"/>
  <c r="M59" i="3"/>
  <c r="N59" i="3"/>
  <c r="O59" i="3"/>
  <c r="P59" i="3"/>
  <c r="Q59" i="3"/>
  <c r="M60" i="3"/>
  <c r="N60" i="3"/>
  <c r="O60" i="3"/>
  <c r="P60" i="3"/>
  <c r="Q60" i="3"/>
  <c r="M62" i="3"/>
  <c r="N62" i="3"/>
  <c r="O62" i="3"/>
  <c r="P62" i="3"/>
  <c r="Q62" i="3"/>
  <c r="M63" i="3"/>
  <c r="N63" i="3"/>
  <c r="O63" i="3"/>
  <c r="P63" i="3"/>
  <c r="Q63" i="3"/>
  <c r="M65" i="3"/>
  <c r="N65" i="3"/>
  <c r="O65" i="3"/>
  <c r="P65" i="3"/>
  <c r="Q65" i="3"/>
  <c r="M54" i="3"/>
  <c r="N54" i="3"/>
  <c r="O54" i="3"/>
  <c r="P54" i="3"/>
  <c r="Q54" i="3"/>
  <c r="M55" i="3"/>
  <c r="N55" i="3"/>
  <c r="O55" i="3"/>
  <c r="P55" i="3"/>
  <c r="Q55" i="3"/>
  <c r="L50" i="3"/>
  <c r="M50" i="3"/>
  <c r="N50" i="3"/>
  <c r="O50" i="3"/>
  <c r="P50" i="3"/>
  <c r="N35" i="3"/>
  <c r="O35" i="3"/>
  <c r="P35" i="3"/>
  <c r="Q35" i="3"/>
  <c r="R35" i="3"/>
  <c r="N36" i="3"/>
  <c r="O36" i="3"/>
  <c r="P36" i="3"/>
  <c r="Q36" i="3"/>
  <c r="R36" i="3"/>
  <c r="N37" i="3"/>
  <c r="O37" i="3"/>
  <c r="P37" i="3"/>
  <c r="Q37" i="3"/>
  <c r="R37" i="3"/>
  <c r="N38" i="3"/>
  <c r="O38" i="3"/>
  <c r="P38" i="3"/>
  <c r="Q38" i="3"/>
  <c r="R38" i="3"/>
  <c r="N39" i="3"/>
  <c r="O39" i="3"/>
  <c r="P39" i="3"/>
  <c r="Q39" i="3"/>
  <c r="R39" i="3"/>
  <c r="N40" i="3"/>
  <c r="O40" i="3"/>
  <c r="P40" i="3"/>
  <c r="Q40" i="3"/>
  <c r="R40" i="3"/>
  <c r="N41" i="3"/>
  <c r="O41" i="3"/>
  <c r="P41" i="3"/>
  <c r="Q41" i="3"/>
  <c r="R41" i="3"/>
  <c r="P30" i="3"/>
  <c r="P44" i="3" s="1"/>
  <c r="Q30" i="3"/>
  <c r="Q44" i="3" s="1"/>
  <c r="R30" i="3"/>
  <c r="R44" i="3" s="1"/>
  <c r="P31" i="3"/>
  <c r="P45" i="3" s="1"/>
  <c r="Q31" i="3"/>
  <c r="Q45" i="3" s="1"/>
  <c r="R31" i="3"/>
  <c r="R45" i="3" s="1"/>
  <c r="N30" i="3"/>
  <c r="N44" i="3" s="1"/>
  <c r="O30" i="3"/>
  <c r="O44" i="3" s="1"/>
  <c r="N31" i="3"/>
  <c r="N45" i="3" s="1"/>
  <c r="O31" i="3"/>
  <c r="O45" i="3" s="1"/>
  <c r="N6" i="3"/>
  <c r="N14" i="3" s="1"/>
  <c r="O6" i="3"/>
  <c r="O14" i="3" s="1"/>
  <c r="P6" i="3"/>
  <c r="P14" i="3" s="1"/>
  <c r="Q6" i="3"/>
  <c r="Q14" i="3" s="1"/>
  <c r="Q22" i="3" s="1"/>
  <c r="R6" i="3"/>
  <c r="R14" i="3" s="1"/>
  <c r="N7" i="3"/>
  <c r="O7" i="3"/>
  <c r="O15" i="3" s="1"/>
  <c r="P7" i="3"/>
  <c r="P15" i="3" s="1"/>
  <c r="Q7" i="3"/>
  <c r="Q15" i="3" s="1"/>
  <c r="R7" i="3"/>
  <c r="R15" i="3" s="1"/>
  <c r="R23" i="3" s="1"/>
  <c r="N8" i="3"/>
  <c r="N16" i="3" s="1"/>
  <c r="O8" i="3"/>
  <c r="O16" i="3" s="1"/>
  <c r="P8" i="3"/>
  <c r="P16" i="3" s="1"/>
  <c r="Q8" i="3"/>
  <c r="R8" i="3"/>
  <c r="N9" i="3"/>
  <c r="N17" i="3" s="1"/>
  <c r="O9" i="3"/>
  <c r="O17" i="3" s="1"/>
  <c r="P9" i="3"/>
  <c r="P17" i="3" s="1"/>
  <c r="P25" i="3" s="1"/>
  <c r="Q9" i="3"/>
  <c r="Q17" i="3" s="1"/>
  <c r="R9" i="3"/>
  <c r="R17" i="3" s="1"/>
  <c r="N10" i="3"/>
  <c r="N18" i="3" s="1"/>
  <c r="O10" i="3"/>
  <c r="O18" i="3" s="1"/>
  <c r="P10" i="3"/>
  <c r="P18" i="3" s="1"/>
  <c r="Q10" i="3"/>
  <c r="Q18" i="3" s="1"/>
  <c r="R10" i="3"/>
  <c r="R18" i="3" s="1"/>
  <c r="N11" i="3"/>
  <c r="O11" i="3"/>
  <c r="O19" i="3" s="1"/>
  <c r="P11" i="3"/>
  <c r="P19" i="3" s="1"/>
  <c r="Q11" i="3"/>
  <c r="Q19" i="3" s="1"/>
  <c r="R11" i="3"/>
  <c r="R19" i="3" s="1"/>
  <c r="R16" i="3"/>
  <c r="Q3" i="3"/>
  <c r="R3" i="3"/>
  <c r="N3" i="3"/>
  <c r="O3" i="3"/>
  <c r="P3" i="3"/>
  <c r="E50" i="3"/>
  <c r="E37" i="3"/>
  <c r="E36" i="3"/>
  <c r="E35" i="3"/>
  <c r="E31" i="3"/>
  <c r="E30" i="3"/>
  <c r="E6" i="3"/>
  <c r="B5" i="7"/>
  <c r="S30" i="6" l="1"/>
  <c r="S42" i="6" s="1"/>
  <c r="O30" i="6"/>
  <c r="O42" i="6" s="1"/>
  <c r="Q31" i="6"/>
  <c r="Q43" i="6" s="1"/>
  <c r="Q27" i="3"/>
  <c r="R26" i="3"/>
  <c r="N26" i="3"/>
  <c r="O25" i="3"/>
  <c r="Q23" i="3"/>
  <c r="R22" i="3"/>
  <c r="N22" i="3"/>
  <c r="Q26" i="3"/>
  <c r="O24" i="3"/>
  <c r="P30" i="6"/>
  <c r="P42" i="6" s="1"/>
  <c r="O27" i="3"/>
  <c r="P26" i="3"/>
  <c r="Q25" i="3"/>
  <c r="R24" i="3"/>
  <c r="N24" i="3"/>
  <c r="O23" i="3"/>
  <c r="P22" i="3"/>
  <c r="R27" i="3"/>
  <c r="O46" i="3"/>
  <c r="P46" i="3"/>
  <c r="Q46" i="3"/>
  <c r="N19" i="3"/>
  <c r="N27" i="3" s="1"/>
  <c r="Q16" i="3"/>
  <c r="Q24" i="3" s="1"/>
  <c r="N15" i="3"/>
  <c r="N23" i="3" s="1"/>
  <c r="O22" i="3"/>
  <c r="K49" i="9"/>
  <c r="K33" i="9"/>
  <c r="S49" i="9"/>
  <c r="S33" i="9"/>
  <c r="P24" i="3"/>
  <c r="R30" i="9"/>
  <c r="R42" i="9" s="1"/>
  <c r="R30" i="6"/>
  <c r="R42" i="6" s="1"/>
  <c r="S31" i="9"/>
  <c r="S43" i="9" s="1"/>
  <c r="S31" i="6"/>
  <c r="S43" i="6" s="1"/>
  <c r="O31" i="9"/>
  <c r="O43" i="9" s="1"/>
  <c r="O31" i="6"/>
  <c r="O43" i="6" s="1"/>
  <c r="D17" i="9"/>
  <c r="P23" i="3"/>
  <c r="O26" i="3"/>
  <c r="P31" i="6"/>
  <c r="P43" i="6" s="1"/>
  <c r="R46" i="3"/>
  <c r="N46" i="3"/>
  <c r="Q30" i="9"/>
  <c r="Q42" i="9" s="1"/>
  <c r="R31" i="9"/>
  <c r="R43" i="9" s="1"/>
  <c r="G22" i="9"/>
  <c r="P27" i="3"/>
  <c r="R25" i="3"/>
  <c r="Q31" i="9"/>
  <c r="Q43" i="9" s="1"/>
  <c r="Q30" i="6"/>
  <c r="Q42" i="6" s="1"/>
  <c r="P30" i="9"/>
  <c r="P42" i="9" s="1"/>
  <c r="N25" i="3"/>
  <c r="S30" i="9"/>
  <c r="S42" i="9" s="1"/>
  <c r="O30" i="9"/>
  <c r="O42" i="9" s="1"/>
  <c r="P31" i="9"/>
  <c r="P43" i="9" s="1"/>
  <c r="R31" i="6"/>
  <c r="R43" i="6" s="1"/>
  <c r="R22" i="9"/>
  <c r="N22" i="9"/>
  <c r="J22" i="9"/>
  <c r="F22" i="9"/>
  <c r="Q22" i="9"/>
  <c r="M22" i="9"/>
  <c r="I22" i="9"/>
  <c r="P22" i="9"/>
  <c r="L22" i="9"/>
  <c r="H22" i="9"/>
  <c r="O22" i="9"/>
  <c r="E33" i="6"/>
  <c r="R22" i="6"/>
  <c r="R49" i="6" s="1"/>
  <c r="Q22" i="6"/>
  <c r="Q49" i="6" s="1"/>
  <c r="S49" i="6"/>
  <c r="O49" i="6"/>
  <c r="P33" i="6"/>
  <c r="N13" i="6"/>
  <c r="D17" i="6"/>
  <c r="B14" i="7"/>
  <c r="C59" i="6"/>
  <c r="C56" i="6"/>
  <c r="C44" i="6"/>
  <c r="C41" i="6"/>
  <c r="M22" i="6"/>
  <c r="M49" i="6" s="1"/>
  <c r="K22" i="6"/>
  <c r="G22" i="6"/>
  <c r="G33" i="6" s="1"/>
  <c r="F22" i="6"/>
  <c r="N22" i="6"/>
  <c r="B69" i="3"/>
  <c r="B68" i="3"/>
  <c r="L65" i="3"/>
  <c r="K65" i="3"/>
  <c r="J65" i="3"/>
  <c r="I65" i="3"/>
  <c r="H65" i="3"/>
  <c r="G65" i="3"/>
  <c r="F65" i="3"/>
  <c r="E65" i="3"/>
  <c r="L63" i="3"/>
  <c r="K63" i="3"/>
  <c r="J63" i="3"/>
  <c r="I63" i="3"/>
  <c r="H63" i="3"/>
  <c r="G63" i="3"/>
  <c r="F63" i="3"/>
  <c r="E63" i="3"/>
  <c r="L62" i="3"/>
  <c r="K62" i="3"/>
  <c r="J62" i="3"/>
  <c r="I62" i="3"/>
  <c r="H62" i="3"/>
  <c r="G62" i="3"/>
  <c r="F62" i="3"/>
  <c r="E62" i="3"/>
  <c r="L60" i="3"/>
  <c r="K60" i="3"/>
  <c r="J60" i="3"/>
  <c r="I60" i="3"/>
  <c r="H60" i="3"/>
  <c r="G60" i="3"/>
  <c r="F60" i="3"/>
  <c r="E60" i="3"/>
  <c r="L59" i="3"/>
  <c r="K59" i="3"/>
  <c r="J59" i="3"/>
  <c r="I59" i="3"/>
  <c r="H59" i="3"/>
  <c r="G59" i="3"/>
  <c r="F59" i="3"/>
  <c r="E59" i="3"/>
  <c r="A65" i="3"/>
  <c r="A64" i="3"/>
  <c r="A63" i="3"/>
  <c r="A61" i="3"/>
  <c r="A60" i="3"/>
  <c r="A59" i="3"/>
  <c r="A58" i="3" a="1"/>
  <c r="A62" i="3" s="1"/>
  <c r="A58" i="3"/>
  <c r="L55" i="3"/>
  <c r="K55" i="3"/>
  <c r="J55" i="3"/>
  <c r="I55" i="3"/>
  <c r="H55" i="3"/>
  <c r="G55" i="3"/>
  <c r="F55" i="3"/>
  <c r="E55" i="3"/>
  <c r="D55" i="3"/>
  <c r="C55" i="3"/>
  <c r="B55" i="3"/>
  <c r="L54" i="3"/>
  <c r="K54" i="3"/>
  <c r="J54" i="3"/>
  <c r="I54" i="3"/>
  <c r="H54" i="3"/>
  <c r="G54" i="3"/>
  <c r="F54" i="3"/>
  <c r="E54" i="3"/>
  <c r="D54" i="3"/>
  <c r="C54" i="3"/>
  <c r="B54" i="3"/>
  <c r="K50" i="3"/>
  <c r="J50" i="3"/>
  <c r="I50" i="3"/>
  <c r="H50" i="3"/>
  <c r="G50" i="3"/>
  <c r="F50" i="3"/>
  <c r="D50" i="3"/>
  <c r="C50" i="3"/>
  <c r="B50" i="3"/>
  <c r="E44" i="3"/>
  <c r="M41" i="3"/>
  <c r="L41" i="3"/>
  <c r="K41" i="3"/>
  <c r="J41" i="3"/>
  <c r="I41" i="3"/>
  <c r="H41" i="3"/>
  <c r="G41" i="3"/>
  <c r="F41" i="3"/>
  <c r="E41" i="3"/>
  <c r="D41" i="3"/>
  <c r="C41" i="3"/>
  <c r="B41" i="3"/>
  <c r="M40" i="3"/>
  <c r="L40" i="3"/>
  <c r="K40" i="3"/>
  <c r="J40" i="3"/>
  <c r="I40" i="3"/>
  <c r="H40" i="3"/>
  <c r="G40" i="3"/>
  <c r="F40" i="3"/>
  <c r="E40" i="3"/>
  <c r="D40" i="3"/>
  <c r="C40" i="3"/>
  <c r="B40" i="3"/>
  <c r="M39" i="3"/>
  <c r="L39" i="3"/>
  <c r="K39" i="3"/>
  <c r="J39" i="3"/>
  <c r="I39" i="3"/>
  <c r="H39" i="3"/>
  <c r="G39" i="3"/>
  <c r="F39" i="3"/>
  <c r="E39" i="3"/>
  <c r="D39" i="3"/>
  <c r="C39" i="3"/>
  <c r="B39" i="3"/>
  <c r="D38" i="3"/>
  <c r="C38" i="3"/>
  <c r="B38" i="3"/>
  <c r="M37" i="3"/>
  <c r="L37" i="3"/>
  <c r="K37" i="3"/>
  <c r="J37" i="3"/>
  <c r="I37" i="3"/>
  <c r="H37" i="3"/>
  <c r="G37" i="3"/>
  <c r="F37" i="3"/>
  <c r="D37" i="3"/>
  <c r="C37" i="3"/>
  <c r="B37" i="3"/>
  <c r="D36" i="3"/>
  <c r="C36" i="3"/>
  <c r="B36" i="3"/>
  <c r="D35" i="3"/>
  <c r="C35" i="3"/>
  <c r="B35" i="3"/>
  <c r="A39" i="3"/>
  <c r="A37" i="3"/>
  <c r="A35" i="3" a="1"/>
  <c r="M31" i="3"/>
  <c r="M45" i="3" s="1"/>
  <c r="L31" i="3"/>
  <c r="L45" i="3" s="1"/>
  <c r="K31" i="3"/>
  <c r="K45" i="3" s="1"/>
  <c r="J31" i="3"/>
  <c r="J45" i="3" s="1"/>
  <c r="I31" i="3"/>
  <c r="I45" i="3" s="1"/>
  <c r="H31" i="3"/>
  <c r="H45" i="3" s="1"/>
  <c r="G31" i="3"/>
  <c r="G45" i="3" s="1"/>
  <c r="F31" i="3"/>
  <c r="F45" i="3" s="1"/>
  <c r="E45" i="3"/>
  <c r="D31" i="3"/>
  <c r="D45" i="3" s="1"/>
  <c r="C31" i="3"/>
  <c r="C45" i="3" s="1"/>
  <c r="B31" i="3"/>
  <c r="B45" i="3" s="1"/>
  <c r="M30" i="3"/>
  <c r="M44" i="3" s="1"/>
  <c r="L30" i="3"/>
  <c r="L44" i="3" s="1"/>
  <c r="K30" i="3"/>
  <c r="K44" i="3" s="1"/>
  <c r="J30" i="3"/>
  <c r="J44" i="3" s="1"/>
  <c r="I30" i="3"/>
  <c r="I44" i="3" s="1"/>
  <c r="H30" i="3"/>
  <c r="H44" i="3" s="1"/>
  <c r="G30" i="3"/>
  <c r="G44" i="3" s="1"/>
  <c r="F30" i="3"/>
  <c r="F44" i="3" s="1"/>
  <c r="D30" i="3"/>
  <c r="D44" i="3" s="1"/>
  <c r="C30" i="3"/>
  <c r="C44" i="3" s="1"/>
  <c r="B30" i="3"/>
  <c r="B44" i="3" s="1"/>
  <c r="A27" i="3"/>
  <c r="A26" i="3"/>
  <c r="A25" i="3"/>
  <c r="A24" i="3"/>
  <c r="A23" i="3"/>
  <c r="A22" i="3"/>
  <c r="A19" i="3"/>
  <c r="A18" i="3"/>
  <c r="A17" i="3"/>
  <c r="A16" i="3"/>
  <c r="A15" i="3"/>
  <c r="A14" i="3"/>
  <c r="M11" i="3"/>
  <c r="L11" i="3"/>
  <c r="K11" i="3"/>
  <c r="K19" i="3" s="1"/>
  <c r="J11" i="3"/>
  <c r="I11" i="3"/>
  <c r="I19" i="3" s="1"/>
  <c r="H11" i="3"/>
  <c r="G11" i="3"/>
  <c r="F11" i="3"/>
  <c r="F19" i="3" s="1"/>
  <c r="E11" i="3"/>
  <c r="E19" i="3" s="1"/>
  <c r="D11" i="3"/>
  <c r="D19" i="3" s="1"/>
  <c r="C11" i="3"/>
  <c r="B11" i="3"/>
  <c r="B19" i="3" s="1"/>
  <c r="A11" i="3"/>
  <c r="M10" i="3"/>
  <c r="L10" i="3"/>
  <c r="L18" i="3" s="1"/>
  <c r="K10" i="3"/>
  <c r="K18" i="3" s="1"/>
  <c r="J10" i="3"/>
  <c r="I10" i="3"/>
  <c r="H10" i="3"/>
  <c r="H18" i="3" s="1"/>
  <c r="G10" i="3"/>
  <c r="G18" i="3" s="1"/>
  <c r="F10" i="3"/>
  <c r="F18" i="3" s="1"/>
  <c r="F26" i="3" s="1"/>
  <c r="E10" i="3"/>
  <c r="D10" i="3"/>
  <c r="C10" i="3"/>
  <c r="C18" i="3" s="1"/>
  <c r="B10" i="3"/>
  <c r="B18" i="3" s="1"/>
  <c r="A10" i="3"/>
  <c r="M9" i="3"/>
  <c r="M17" i="3" s="1"/>
  <c r="M25" i="3" s="1"/>
  <c r="L9" i="3"/>
  <c r="K9" i="3"/>
  <c r="J9" i="3"/>
  <c r="I9" i="3"/>
  <c r="I17" i="3" s="1"/>
  <c r="H9" i="3"/>
  <c r="H17" i="3" s="1"/>
  <c r="G9" i="3"/>
  <c r="F9" i="3"/>
  <c r="F17" i="3" s="1"/>
  <c r="E9" i="3"/>
  <c r="E17" i="3" s="1"/>
  <c r="D9" i="3"/>
  <c r="D17" i="3" s="1"/>
  <c r="C9" i="3"/>
  <c r="C17" i="3" s="1"/>
  <c r="B9" i="3"/>
  <c r="B17" i="3" s="1"/>
  <c r="A9" i="3"/>
  <c r="M8" i="3"/>
  <c r="L8" i="3"/>
  <c r="L16" i="3" s="1"/>
  <c r="K8" i="3"/>
  <c r="K16" i="3" s="1"/>
  <c r="J8" i="3"/>
  <c r="J16" i="3" s="1"/>
  <c r="I8" i="3"/>
  <c r="H8" i="3"/>
  <c r="H16" i="3" s="1"/>
  <c r="G8" i="3"/>
  <c r="G16" i="3" s="1"/>
  <c r="F8" i="3"/>
  <c r="F16" i="3" s="1"/>
  <c r="E8" i="3"/>
  <c r="E16" i="3" s="1"/>
  <c r="D8" i="3"/>
  <c r="D16" i="3" s="1"/>
  <c r="C8" i="3"/>
  <c r="B8" i="3"/>
  <c r="A8" i="3"/>
  <c r="M7" i="3"/>
  <c r="M15" i="3" s="1"/>
  <c r="L7" i="3"/>
  <c r="L15" i="3" s="1"/>
  <c r="K7" i="3"/>
  <c r="J7" i="3"/>
  <c r="J15" i="3" s="1"/>
  <c r="I7" i="3"/>
  <c r="I15" i="3" s="1"/>
  <c r="H7" i="3"/>
  <c r="H15" i="3" s="1"/>
  <c r="G7" i="3"/>
  <c r="G15" i="3" s="1"/>
  <c r="F7" i="3"/>
  <c r="E7" i="3"/>
  <c r="D7" i="3"/>
  <c r="C7" i="3"/>
  <c r="B7" i="3"/>
  <c r="B15" i="3" s="1"/>
  <c r="A7" i="3"/>
  <c r="M6" i="3"/>
  <c r="L6" i="3"/>
  <c r="K6" i="3"/>
  <c r="K14" i="3" s="1"/>
  <c r="J6" i="3"/>
  <c r="J14" i="3" s="1"/>
  <c r="I6" i="3"/>
  <c r="I14" i="3" s="1"/>
  <c r="H6" i="3"/>
  <c r="H14" i="3" s="1"/>
  <c r="G6" i="3"/>
  <c r="F6" i="3"/>
  <c r="D6" i="3"/>
  <c r="D14" i="3" s="1"/>
  <c r="C6" i="3"/>
  <c r="C14" i="3" s="1"/>
  <c r="C22" i="3" s="1"/>
  <c r="B6" i="3"/>
  <c r="A6" i="3"/>
  <c r="M3" i="3"/>
  <c r="L3" i="3"/>
  <c r="K3" i="3"/>
  <c r="J3" i="3"/>
  <c r="I3" i="3"/>
  <c r="H3" i="3"/>
  <c r="G3" i="3"/>
  <c r="F3" i="3"/>
  <c r="E3" i="3"/>
  <c r="D3" i="3"/>
  <c r="C3" i="3"/>
  <c r="B3" i="3"/>
  <c r="E43" i="2"/>
  <c r="E40" i="2"/>
  <c r="H32" i="2"/>
  <c r="H30" i="2"/>
  <c r="E29" i="2"/>
  <c r="B29" i="2"/>
  <c r="H16" i="2"/>
  <c r="E16" i="2"/>
  <c r="B16" i="2"/>
  <c r="B5" i="2"/>
  <c r="B4" i="2"/>
  <c r="B3" i="2"/>
  <c r="B2" i="2"/>
  <c r="B8" i="2" s="1"/>
  <c r="R32" i="3" l="1"/>
  <c r="N32" i="3"/>
  <c r="N49" i="3" s="1"/>
  <c r="N51" i="3" s="1"/>
  <c r="P21" i="6" s="1"/>
  <c r="P41" i="6" s="1"/>
  <c r="Q32" i="3"/>
  <c r="Q49" i="3" s="1"/>
  <c r="O32" i="3"/>
  <c r="O49" i="3" s="1"/>
  <c r="O51" i="3" s="1"/>
  <c r="Q21" i="9" s="1"/>
  <c r="J24" i="3"/>
  <c r="K26" i="3"/>
  <c r="G30" i="9"/>
  <c r="G42" i="9" s="1"/>
  <c r="G30" i="6"/>
  <c r="G42" i="6" s="1"/>
  <c r="K30" i="9"/>
  <c r="K42" i="9" s="1"/>
  <c r="K30" i="6"/>
  <c r="K42" i="6" s="1"/>
  <c r="H31" i="6"/>
  <c r="H43" i="6" s="1"/>
  <c r="H31" i="9"/>
  <c r="H43" i="9" s="1"/>
  <c r="L31" i="9"/>
  <c r="L43" i="9" s="1"/>
  <c r="L31" i="6"/>
  <c r="L43" i="6" s="1"/>
  <c r="O49" i="9"/>
  <c r="O33" i="9"/>
  <c r="E33" i="9"/>
  <c r="E49" i="9"/>
  <c r="F49" i="9"/>
  <c r="F33" i="9"/>
  <c r="R49" i="3"/>
  <c r="B46" i="3"/>
  <c r="H30" i="6"/>
  <c r="H42" i="6" s="1"/>
  <c r="H30" i="9"/>
  <c r="H42" i="9" s="1"/>
  <c r="L30" i="6"/>
  <c r="L42" i="6" s="1"/>
  <c r="L30" i="9"/>
  <c r="L42" i="9" s="1"/>
  <c r="I31" i="9"/>
  <c r="I43" i="9" s="1"/>
  <c r="I31" i="6"/>
  <c r="I43" i="6" s="1"/>
  <c r="M31" i="9"/>
  <c r="M43" i="9" s="1"/>
  <c r="M31" i="6"/>
  <c r="M43" i="6" s="1"/>
  <c r="H49" i="9"/>
  <c r="H33" i="9"/>
  <c r="I33" i="9"/>
  <c r="I49" i="9"/>
  <c r="J49" i="9"/>
  <c r="J33" i="9"/>
  <c r="P32" i="3"/>
  <c r="P49" i="3" s="1"/>
  <c r="P51" i="3" s="1"/>
  <c r="L23" i="3"/>
  <c r="H25" i="3"/>
  <c r="D27" i="3"/>
  <c r="E30" i="9"/>
  <c r="E42" i="9" s="1"/>
  <c r="E30" i="6"/>
  <c r="E42" i="6" s="1"/>
  <c r="I30" i="9"/>
  <c r="I42" i="9" s="1"/>
  <c r="I30" i="6"/>
  <c r="I42" i="6" s="1"/>
  <c r="M30" i="9"/>
  <c r="M42" i="9" s="1"/>
  <c r="M30" i="6"/>
  <c r="M42" i="6" s="1"/>
  <c r="J31" i="9"/>
  <c r="J43" i="9" s="1"/>
  <c r="J31" i="6"/>
  <c r="J43" i="6" s="1"/>
  <c r="N31" i="9"/>
  <c r="N43" i="9" s="1"/>
  <c r="N31" i="6"/>
  <c r="N43" i="6" s="1"/>
  <c r="L49" i="9"/>
  <c r="L33" i="9"/>
  <c r="M33" i="9"/>
  <c r="M49" i="9"/>
  <c r="N49" i="9"/>
  <c r="N33" i="9"/>
  <c r="G49" i="9"/>
  <c r="G33" i="9"/>
  <c r="K27" i="3"/>
  <c r="L19" i="3"/>
  <c r="L27" i="3" s="1"/>
  <c r="I27" i="3"/>
  <c r="F30" i="9"/>
  <c r="F42" i="9" s="1"/>
  <c r="F30" i="6"/>
  <c r="F42" i="6" s="1"/>
  <c r="J30" i="9"/>
  <c r="J42" i="9" s="1"/>
  <c r="J30" i="6"/>
  <c r="J42" i="6" s="1"/>
  <c r="N30" i="9"/>
  <c r="N42" i="9" s="1"/>
  <c r="N30" i="6"/>
  <c r="N42" i="6" s="1"/>
  <c r="G31" i="9"/>
  <c r="G43" i="9" s="1"/>
  <c r="G31" i="6"/>
  <c r="G43" i="6" s="1"/>
  <c r="K31" i="9"/>
  <c r="K43" i="9" s="1"/>
  <c r="K31" i="6"/>
  <c r="K43" i="6" s="1"/>
  <c r="P49" i="9"/>
  <c r="P33" i="9"/>
  <c r="Q33" i="9"/>
  <c r="Q49" i="9"/>
  <c r="R49" i="9"/>
  <c r="R33" i="9"/>
  <c r="E14" i="9"/>
  <c r="E16" i="9" s="1"/>
  <c r="E17" i="9" s="1"/>
  <c r="Q33" i="6"/>
  <c r="R33" i="6"/>
  <c r="AF13" i="6"/>
  <c r="R34" i="6"/>
  <c r="O34" i="6"/>
  <c r="S34" i="6"/>
  <c r="P34" i="6"/>
  <c r="Q34" i="6"/>
  <c r="AB13" i="6"/>
  <c r="H13" i="6"/>
  <c r="I34" i="6"/>
  <c r="L34" i="6"/>
  <c r="Z13" i="6"/>
  <c r="O13" i="6"/>
  <c r="I13" i="6"/>
  <c r="M34" i="6"/>
  <c r="AD13" i="6"/>
  <c r="S13" i="6"/>
  <c r="Y13" i="6"/>
  <c r="H34" i="6"/>
  <c r="J13" i="6"/>
  <c r="P13" i="6"/>
  <c r="AE13" i="6"/>
  <c r="AC13" i="6"/>
  <c r="F13" i="6"/>
  <c r="E34" i="6"/>
  <c r="B15" i="7"/>
  <c r="D14" i="7"/>
  <c r="F34" i="6"/>
  <c r="J34" i="6"/>
  <c r="N34" i="6"/>
  <c r="R13" i="6"/>
  <c r="AH13" i="6"/>
  <c r="G13" i="6"/>
  <c r="W13" i="6"/>
  <c r="T13" i="6"/>
  <c r="M13" i="6"/>
  <c r="AG13" i="6"/>
  <c r="G34" i="6"/>
  <c r="K34" i="6"/>
  <c r="E13" i="6"/>
  <c r="V13" i="6"/>
  <c r="L13" i="6"/>
  <c r="K13" i="6"/>
  <c r="AA13" i="6"/>
  <c r="X13" i="6"/>
  <c r="Q13" i="6"/>
  <c r="E14" i="6"/>
  <c r="E23" i="6" s="1"/>
  <c r="U13" i="6"/>
  <c r="G49" i="6"/>
  <c r="F33" i="6"/>
  <c r="F49" i="6"/>
  <c r="N33" i="6"/>
  <c r="N49" i="6"/>
  <c r="K49" i="6"/>
  <c r="K33" i="6"/>
  <c r="H6" i="6"/>
  <c r="I22" i="6"/>
  <c r="L22" i="6"/>
  <c r="H22" i="6"/>
  <c r="J22" i="6"/>
  <c r="M33" i="6"/>
  <c r="M16" i="3"/>
  <c r="M24" i="3" s="1"/>
  <c r="K17" i="3"/>
  <c r="K25" i="3" s="1"/>
  <c r="I22" i="3"/>
  <c r="D46" i="3"/>
  <c r="B9" i="2"/>
  <c r="B62" i="3"/>
  <c r="D62" i="3"/>
  <c r="C62" i="3"/>
  <c r="E14" i="3"/>
  <c r="E22" i="3" s="1"/>
  <c r="M14" i="3"/>
  <c r="M22" i="3" s="1"/>
  <c r="C15" i="3"/>
  <c r="C23" i="3" s="1"/>
  <c r="K15" i="3"/>
  <c r="K23" i="3" s="1"/>
  <c r="I16" i="3"/>
  <c r="I24" i="3" s="1"/>
  <c r="G17" i="3"/>
  <c r="G25" i="3" s="1"/>
  <c r="E18" i="3"/>
  <c r="E26" i="3" s="1"/>
  <c r="E44" i="2"/>
  <c r="B59" i="3"/>
  <c r="C59" i="3"/>
  <c r="E46" i="2"/>
  <c r="E41" i="2"/>
  <c r="D22" i="3"/>
  <c r="H22" i="3"/>
  <c r="B23" i="3"/>
  <c r="J23" i="3"/>
  <c r="D24" i="3"/>
  <c r="H24" i="3"/>
  <c r="L24" i="3"/>
  <c r="B25" i="3"/>
  <c r="F25" i="3"/>
  <c r="H26" i="3"/>
  <c r="L26" i="3"/>
  <c r="B27" i="3"/>
  <c r="F27" i="3"/>
  <c r="J19" i="3"/>
  <c r="J27" i="3" s="1"/>
  <c r="L14" i="3"/>
  <c r="L22" i="3" s="1"/>
  <c r="F15" i="3"/>
  <c r="F23" i="3" s="1"/>
  <c r="J17" i="3"/>
  <c r="J25" i="3" s="1"/>
  <c r="D18" i="3"/>
  <c r="D26" i="3" s="1"/>
  <c r="G23" i="3"/>
  <c r="E24" i="3"/>
  <c r="C25" i="3"/>
  <c r="C46" i="3"/>
  <c r="D59" i="3"/>
  <c r="I18" i="3"/>
  <c r="I26" i="3" s="1"/>
  <c r="M18" i="3"/>
  <c r="M26" i="3" s="1"/>
  <c r="C19" i="3"/>
  <c r="C27" i="3" s="1"/>
  <c r="G19" i="3"/>
  <c r="G27" i="3" s="1"/>
  <c r="J22" i="3"/>
  <c r="H23" i="3"/>
  <c r="M23" i="3"/>
  <c r="F24" i="3"/>
  <c r="K24" i="3"/>
  <c r="D25" i="3"/>
  <c r="I25" i="3"/>
  <c r="B26" i="3"/>
  <c r="G26" i="3"/>
  <c r="E27" i="3"/>
  <c r="B14" i="3"/>
  <c r="B22" i="3" s="1"/>
  <c r="F14" i="3"/>
  <c r="F22" i="3" s="1"/>
  <c r="D15" i="3"/>
  <c r="D23" i="3" s="1"/>
  <c r="B16" i="3"/>
  <c r="B24" i="3" s="1"/>
  <c r="L17" i="3"/>
  <c r="L25" i="3" s="1"/>
  <c r="J18" i="3"/>
  <c r="J26" i="3" s="1"/>
  <c r="H19" i="3"/>
  <c r="H27" i="3" s="1"/>
  <c r="M19" i="3"/>
  <c r="M27" i="3" s="1"/>
  <c r="K22" i="3"/>
  <c r="I23" i="3"/>
  <c r="G24" i="3"/>
  <c r="E25" i="3"/>
  <c r="C26" i="3"/>
  <c r="A38" i="3"/>
  <c r="A35" i="3"/>
  <c r="A40" i="3"/>
  <c r="G14" i="3"/>
  <c r="G22" i="3" s="1"/>
  <c r="E15" i="3"/>
  <c r="E23" i="3" s="1"/>
  <c r="C16" i="3"/>
  <c r="C24" i="3" s="1"/>
  <c r="A36" i="3"/>
  <c r="A41" i="3"/>
  <c r="P21" i="9" l="1"/>
  <c r="P41" i="9" s="1"/>
  <c r="Q21" i="6"/>
  <c r="Q41" i="6" s="1"/>
  <c r="Q48" i="6" s="1"/>
  <c r="C69" i="3"/>
  <c r="D69" i="3"/>
  <c r="D68" i="3"/>
  <c r="C68" i="3"/>
  <c r="R51" i="3"/>
  <c r="Q50" i="3"/>
  <c r="Q51" i="3" s="1"/>
  <c r="S58" i="9"/>
  <c r="P68" i="3"/>
  <c r="M68" i="3"/>
  <c r="Q68" i="3"/>
  <c r="N68" i="3"/>
  <c r="O68" i="3"/>
  <c r="E68" i="3"/>
  <c r="F68" i="3"/>
  <c r="E50" i="9"/>
  <c r="E23" i="9"/>
  <c r="E15" i="9"/>
  <c r="E46" i="9" s="1"/>
  <c r="G32" i="3"/>
  <c r="B32" i="3"/>
  <c r="B49" i="3" s="1"/>
  <c r="B51" i="3" s="1"/>
  <c r="O69" i="3"/>
  <c r="P69" i="3"/>
  <c r="M69" i="3"/>
  <c r="Q69" i="3"/>
  <c r="N69" i="3"/>
  <c r="R21" i="9"/>
  <c r="R21" i="6"/>
  <c r="R41" i="6" s="1"/>
  <c r="P48" i="6"/>
  <c r="Q41" i="9"/>
  <c r="E15" i="6"/>
  <c r="E46" i="6" s="1"/>
  <c r="D15" i="7"/>
  <c r="B16" i="7"/>
  <c r="D16" i="7" s="1"/>
  <c r="B17" i="7" s="1"/>
  <c r="C17" i="7" s="1"/>
  <c r="D17" i="7" s="1"/>
  <c r="B18" i="7" s="1"/>
  <c r="E50" i="6"/>
  <c r="E16" i="6"/>
  <c r="E17" i="6" s="1"/>
  <c r="F14" i="6" s="1"/>
  <c r="F50" i="6" s="1"/>
  <c r="E49" i="6"/>
  <c r="H33" i="6"/>
  <c r="H49" i="6"/>
  <c r="L33" i="6"/>
  <c r="L49" i="6"/>
  <c r="I49" i="6"/>
  <c r="I33" i="6"/>
  <c r="J33" i="6"/>
  <c r="J49" i="6"/>
  <c r="M32" i="3"/>
  <c r="C32" i="3"/>
  <c r="C49" i="3" s="1"/>
  <c r="C51" i="3" s="1"/>
  <c r="E21" i="9" s="1"/>
  <c r="L32" i="3"/>
  <c r="D32" i="3"/>
  <c r="D49" i="3" s="1"/>
  <c r="D51" i="3" s="1"/>
  <c r="F21" i="9" s="1"/>
  <c r="B63" i="3"/>
  <c r="D63" i="3"/>
  <c r="C63" i="3"/>
  <c r="E32" i="3"/>
  <c r="B60" i="3"/>
  <c r="D60" i="3"/>
  <c r="C60" i="3"/>
  <c r="J68" i="3"/>
  <c r="H68" i="3"/>
  <c r="L68" i="3"/>
  <c r="G68" i="3"/>
  <c r="K68" i="3"/>
  <c r="I68" i="3"/>
  <c r="B43" i="2"/>
  <c r="B40" i="2"/>
  <c r="B41" i="2"/>
  <c r="J32" i="3"/>
  <c r="J69" i="3"/>
  <c r="F69" i="3"/>
  <c r="L69" i="3"/>
  <c r="G69" i="3"/>
  <c r="K69" i="3"/>
  <c r="E69" i="3"/>
  <c r="I69" i="3"/>
  <c r="H69" i="3"/>
  <c r="K32" i="3"/>
  <c r="B65" i="3"/>
  <c r="C65" i="3"/>
  <c r="D65" i="3"/>
  <c r="F32" i="3"/>
  <c r="H32" i="3"/>
  <c r="E47" i="2"/>
  <c r="I32" i="3"/>
  <c r="E32" i="9" l="1"/>
  <c r="E44" i="9" s="1"/>
  <c r="E32" i="6"/>
  <c r="E44" i="6" s="1"/>
  <c r="E31" i="9"/>
  <c r="E43" i="9" s="1"/>
  <c r="F32" i="6"/>
  <c r="F44" i="6" s="1"/>
  <c r="F32" i="9"/>
  <c r="F44" i="9" s="1"/>
  <c r="F31" i="6"/>
  <c r="F43" i="6" s="1"/>
  <c r="D31" i="9"/>
  <c r="D35" i="9" s="1"/>
  <c r="M32" i="9"/>
  <c r="M44" i="9" s="1"/>
  <c r="M32" i="6"/>
  <c r="M44" i="6" s="1"/>
  <c r="L32" i="9"/>
  <c r="L44" i="9" s="1"/>
  <c r="L32" i="6"/>
  <c r="L44" i="6" s="1"/>
  <c r="F41" i="9"/>
  <c r="R48" i="6"/>
  <c r="Q32" i="9"/>
  <c r="Q44" i="9" s="1"/>
  <c r="Q45" i="9" s="1"/>
  <c r="Q32" i="6"/>
  <c r="Q44" i="6" s="1"/>
  <c r="Q45" i="6" s="1"/>
  <c r="Q63" i="6" s="1"/>
  <c r="Q64" i="6" s="1"/>
  <c r="O72" i="3"/>
  <c r="O32" i="9"/>
  <c r="O44" i="9" s="1"/>
  <c r="O32" i="6"/>
  <c r="O44" i="6" s="1"/>
  <c r="F31" i="9"/>
  <c r="F43" i="9" s="1"/>
  <c r="E31" i="6"/>
  <c r="E43" i="6" s="1"/>
  <c r="I32" i="9"/>
  <c r="I44" i="9" s="1"/>
  <c r="I32" i="6"/>
  <c r="I44" i="6" s="1"/>
  <c r="Q48" i="9"/>
  <c r="R41" i="9"/>
  <c r="D31" i="6"/>
  <c r="P72" i="3"/>
  <c r="R32" i="9"/>
  <c r="R44" i="9" s="1"/>
  <c r="R32" i="6"/>
  <c r="R44" i="6" s="1"/>
  <c r="R45" i="6" s="1"/>
  <c r="R63" i="6" s="1"/>
  <c r="S21" i="9"/>
  <c r="S21" i="6"/>
  <c r="S41" i="6" s="1"/>
  <c r="Q72" i="3"/>
  <c r="N32" i="9"/>
  <c r="N44" i="9" s="1"/>
  <c r="N32" i="6"/>
  <c r="N44" i="6" s="1"/>
  <c r="E41" i="9"/>
  <c r="F14" i="9"/>
  <c r="F16" i="9" s="1"/>
  <c r="H32" i="9"/>
  <c r="H44" i="9" s="1"/>
  <c r="H32" i="6"/>
  <c r="H44" i="6" s="1"/>
  <c r="P32" i="9"/>
  <c r="P44" i="9" s="1"/>
  <c r="P45" i="9" s="1"/>
  <c r="P32" i="6"/>
  <c r="P44" i="6" s="1"/>
  <c r="P45" i="6" s="1"/>
  <c r="P63" i="6" s="1"/>
  <c r="P64" i="6" s="1"/>
  <c r="N72" i="3"/>
  <c r="T21" i="9"/>
  <c r="S54" i="9" s="1"/>
  <c r="T21" i="6"/>
  <c r="S54" i="6" s="1"/>
  <c r="K32" i="9"/>
  <c r="K44" i="9" s="1"/>
  <c r="K32" i="6"/>
  <c r="K44" i="6" s="1"/>
  <c r="J32" i="9"/>
  <c r="J44" i="9" s="1"/>
  <c r="J32" i="6"/>
  <c r="J44" i="6" s="1"/>
  <c r="B72" i="3"/>
  <c r="G32" i="9"/>
  <c r="G44" i="9" s="1"/>
  <c r="G32" i="6"/>
  <c r="G44" i="6" s="1"/>
  <c r="S32" i="9"/>
  <c r="S44" i="9" s="1"/>
  <c r="S32" i="6"/>
  <c r="S44" i="6" s="1"/>
  <c r="P48" i="9"/>
  <c r="S58" i="6"/>
  <c r="E21" i="6"/>
  <c r="C72" i="3"/>
  <c r="D72" i="3"/>
  <c r="F21" i="6"/>
  <c r="F41" i="6" s="1"/>
  <c r="C18" i="7"/>
  <c r="D18" i="7" s="1"/>
  <c r="B19" i="7" s="1"/>
  <c r="C19" i="7" s="1"/>
  <c r="D19" i="7" s="1"/>
  <c r="B20" i="7" s="1"/>
  <c r="F15" i="6"/>
  <c r="F46" i="6" s="1"/>
  <c r="F16" i="6"/>
  <c r="F17" i="6" s="1"/>
  <c r="G14" i="6" s="1"/>
  <c r="G16" i="6" s="1"/>
  <c r="G17" i="6" s="1"/>
  <c r="F23" i="6"/>
  <c r="M36" i="3"/>
  <c r="I36" i="3"/>
  <c r="J36" i="3"/>
  <c r="H36" i="3"/>
  <c r="L36" i="3"/>
  <c r="G36" i="3"/>
  <c r="F36" i="3"/>
  <c r="K36" i="3"/>
  <c r="J35" i="3"/>
  <c r="F35" i="3"/>
  <c r="K35" i="3"/>
  <c r="I35" i="3"/>
  <c r="M35" i="3"/>
  <c r="H35" i="3"/>
  <c r="L35" i="3"/>
  <c r="G35" i="3"/>
  <c r="K38" i="3"/>
  <c r="G38" i="3"/>
  <c r="L38" i="3"/>
  <c r="F38" i="3"/>
  <c r="J38" i="3"/>
  <c r="E38" i="3"/>
  <c r="I38" i="3"/>
  <c r="M38" i="3"/>
  <c r="H38" i="3"/>
  <c r="R64" i="6" l="1"/>
  <c r="D43" i="9"/>
  <c r="D51" i="9" s="1"/>
  <c r="F45" i="6"/>
  <c r="F63" i="6" s="1"/>
  <c r="S57" i="6"/>
  <c r="S48" i="6"/>
  <c r="S45" i="6"/>
  <c r="S63" i="6" s="1"/>
  <c r="Q63" i="9"/>
  <c r="Q64" i="9" s="1"/>
  <c r="S57" i="9"/>
  <c r="F50" i="9"/>
  <c r="F23" i="9"/>
  <c r="F24" i="9" s="1"/>
  <c r="F15" i="9"/>
  <c r="S41" i="9"/>
  <c r="D35" i="6"/>
  <c r="D43" i="6"/>
  <c r="D51" i="6" s="1"/>
  <c r="E25" i="9"/>
  <c r="E36" i="9" s="1"/>
  <c r="F48" i="9"/>
  <c r="F45" i="9"/>
  <c r="P63" i="9"/>
  <c r="P64" i="9" s="1"/>
  <c r="E48" i="9"/>
  <c r="E45" i="9"/>
  <c r="R48" i="9"/>
  <c r="R45" i="9"/>
  <c r="D63" i="9"/>
  <c r="D61" i="9"/>
  <c r="F48" i="6"/>
  <c r="F24" i="6"/>
  <c r="F25" i="6" s="1"/>
  <c r="F36" i="6" s="1"/>
  <c r="E41" i="6"/>
  <c r="E24" i="6"/>
  <c r="C20" i="7"/>
  <c r="D20" i="7" s="1"/>
  <c r="B21" i="7" s="1"/>
  <c r="G15" i="6"/>
  <c r="G46" i="6" s="1"/>
  <c r="G23" i="6"/>
  <c r="G50" i="6"/>
  <c r="H14" i="6"/>
  <c r="H16" i="6" s="1"/>
  <c r="H17" i="6" s="1"/>
  <c r="G46" i="3"/>
  <c r="G49" i="3" s="1"/>
  <c r="G51" i="3" s="1"/>
  <c r="I21" i="9" s="1"/>
  <c r="M46" i="3"/>
  <c r="M49" i="3" s="1"/>
  <c r="M51" i="3" s="1"/>
  <c r="K46" i="3"/>
  <c r="K49" i="3" s="1"/>
  <c r="K51" i="3" s="1"/>
  <c r="M21" i="9" s="1"/>
  <c r="L46" i="3"/>
  <c r="L49" i="3" s="1"/>
  <c r="L51" i="3" s="1"/>
  <c r="N21" i="9" s="1"/>
  <c r="I46" i="3"/>
  <c r="I49" i="3" s="1"/>
  <c r="I51" i="3" s="1"/>
  <c r="K21" i="9" s="1"/>
  <c r="F46" i="3"/>
  <c r="F49" i="3" s="1"/>
  <c r="F51" i="3" s="1"/>
  <c r="H21" i="9" s="1"/>
  <c r="H46" i="3"/>
  <c r="H49" i="3" s="1"/>
  <c r="H51" i="3" s="1"/>
  <c r="J21" i="9" s="1"/>
  <c r="E46" i="3"/>
  <c r="E49" i="3" s="1"/>
  <c r="E51" i="3" s="1"/>
  <c r="J46" i="3"/>
  <c r="J49" i="3" s="1"/>
  <c r="J51" i="3" s="1"/>
  <c r="L21" i="9" s="1"/>
  <c r="F46" i="9" l="1"/>
  <c r="F17" i="9"/>
  <c r="J41" i="9"/>
  <c r="M41" i="9"/>
  <c r="R63" i="9"/>
  <c r="R64" i="9" s="1"/>
  <c r="E26" i="9"/>
  <c r="F25" i="9"/>
  <c r="F36" i="9" s="1"/>
  <c r="E72" i="3"/>
  <c r="G21" i="9"/>
  <c r="H41" i="9"/>
  <c r="O21" i="9"/>
  <c r="O21" i="6"/>
  <c r="O41" i="6" s="1"/>
  <c r="M72" i="3"/>
  <c r="S48" i="9"/>
  <c r="S45" i="9"/>
  <c r="L41" i="9"/>
  <c r="K41" i="9"/>
  <c r="I41" i="9"/>
  <c r="E48" i="6"/>
  <c r="E45" i="6"/>
  <c r="D62" i="9"/>
  <c r="E63" i="9"/>
  <c r="E64" i="9" s="1"/>
  <c r="E47" i="9"/>
  <c r="F63" i="9"/>
  <c r="F64" i="9" s="1"/>
  <c r="F47" i="9"/>
  <c r="D63" i="6"/>
  <c r="D64" i="6" s="1"/>
  <c r="D61" i="6"/>
  <c r="G14" i="9"/>
  <c r="G16" i="9" s="1"/>
  <c r="S64" i="6"/>
  <c r="N41" i="9"/>
  <c r="D64" i="9"/>
  <c r="F26" i="6"/>
  <c r="F64" i="6"/>
  <c r="F72" i="3"/>
  <c r="H21" i="6"/>
  <c r="H41" i="6" s="1"/>
  <c r="H45" i="6" s="1"/>
  <c r="H72" i="3"/>
  <c r="J21" i="6"/>
  <c r="J41" i="6" s="1"/>
  <c r="J45" i="6" s="1"/>
  <c r="J72" i="3"/>
  <c r="L21" i="6"/>
  <c r="I72" i="3"/>
  <c r="K21" i="6"/>
  <c r="G72" i="3"/>
  <c r="I21" i="6"/>
  <c r="I41" i="6" s="1"/>
  <c r="E25" i="6"/>
  <c r="E36" i="6" s="1"/>
  <c r="K72" i="3"/>
  <c r="M21" i="6"/>
  <c r="G21" i="6"/>
  <c r="G41" i="6" s="1"/>
  <c r="G45" i="6" s="1"/>
  <c r="F47" i="6"/>
  <c r="F51" i="6" s="1"/>
  <c r="N21" i="6"/>
  <c r="L72" i="3"/>
  <c r="C21" i="7"/>
  <c r="D21" i="7" s="1"/>
  <c r="B22" i="7" s="1"/>
  <c r="I14" i="6"/>
  <c r="I16" i="6" s="1"/>
  <c r="I17" i="6" s="1"/>
  <c r="H15" i="6"/>
  <c r="H46" i="6" s="1"/>
  <c r="H50" i="6"/>
  <c r="H23" i="6"/>
  <c r="D62" i="6" l="1"/>
  <c r="F26" i="9"/>
  <c r="G50" i="9"/>
  <c r="G23" i="9"/>
  <c r="G24" i="9" s="1"/>
  <c r="G15" i="9"/>
  <c r="F62" i="9"/>
  <c r="F51" i="9"/>
  <c r="F61" i="9" s="1"/>
  <c r="H48" i="9"/>
  <c r="H45" i="9"/>
  <c r="N48" i="9"/>
  <c r="N45" i="9"/>
  <c r="I48" i="9"/>
  <c r="I45" i="9"/>
  <c r="L48" i="9"/>
  <c r="L45" i="9"/>
  <c r="O48" i="6"/>
  <c r="O45" i="6"/>
  <c r="O63" i="6" s="1"/>
  <c r="G41" i="9"/>
  <c r="M48" i="9"/>
  <c r="M45" i="9"/>
  <c r="E62" i="9"/>
  <c r="E51" i="9"/>
  <c r="E61" i="9" s="1"/>
  <c r="S63" i="9"/>
  <c r="S64" i="9" s="1"/>
  <c r="O41" i="9"/>
  <c r="I48" i="6"/>
  <c r="I45" i="6"/>
  <c r="I63" i="6" s="1"/>
  <c r="K48" i="9"/>
  <c r="K45" i="9"/>
  <c r="J48" i="9"/>
  <c r="J45" i="9"/>
  <c r="F35" i="6"/>
  <c r="F37" i="6" s="1"/>
  <c r="H24" i="6"/>
  <c r="H25" i="6" s="1"/>
  <c r="H36" i="6" s="1"/>
  <c r="B74" i="3"/>
  <c r="G24" i="6"/>
  <c r="G25" i="6" s="1"/>
  <c r="G36" i="6" s="1"/>
  <c r="E63" i="6"/>
  <c r="E47" i="6"/>
  <c r="H63" i="6"/>
  <c r="H48" i="6"/>
  <c r="F62" i="6"/>
  <c r="F61" i="6"/>
  <c r="G48" i="6"/>
  <c r="E26" i="6"/>
  <c r="C22" i="7"/>
  <c r="D22" i="7" s="1"/>
  <c r="B23" i="7" s="1"/>
  <c r="J14" i="6"/>
  <c r="J16" i="6" s="1"/>
  <c r="J17" i="6" s="1"/>
  <c r="I15" i="6"/>
  <c r="I46" i="6" s="1"/>
  <c r="I50" i="6"/>
  <c r="I23" i="6"/>
  <c r="I24" i="6" s="1"/>
  <c r="I25" i="6" s="1"/>
  <c r="I36" i="6" s="1"/>
  <c r="J48" i="6"/>
  <c r="K41" i="6"/>
  <c r="K45" i="6" s="1"/>
  <c r="I64" i="6" l="1"/>
  <c r="I47" i="6"/>
  <c r="I62" i="6" s="1"/>
  <c r="G46" i="9"/>
  <c r="G17" i="9"/>
  <c r="H14" i="9" s="1"/>
  <c r="H16" i="9" s="1"/>
  <c r="K63" i="9"/>
  <c r="K64" i="9" s="1"/>
  <c r="G25" i="9"/>
  <c r="G36" i="9" s="1"/>
  <c r="L63" i="9"/>
  <c r="L64" i="9" s="1"/>
  <c r="N63" i="9"/>
  <c r="N64" i="9" s="1"/>
  <c r="O48" i="9"/>
  <c r="O45" i="9"/>
  <c r="G48" i="9"/>
  <c r="G45" i="9"/>
  <c r="H64" i="6"/>
  <c r="J63" i="9"/>
  <c r="J64" i="9" s="1"/>
  <c r="M63" i="9"/>
  <c r="M64" i="9" s="1"/>
  <c r="O64" i="6"/>
  <c r="I63" i="9"/>
  <c r="I64" i="9" s="1"/>
  <c r="H63" i="9"/>
  <c r="H64" i="9" s="1"/>
  <c r="H26" i="6"/>
  <c r="E35" i="6"/>
  <c r="E37" i="6" s="1"/>
  <c r="E64" i="6"/>
  <c r="G26" i="6"/>
  <c r="H47" i="6"/>
  <c r="E62" i="6"/>
  <c r="E51" i="6"/>
  <c r="E61" i="6" s="1"/>
  <c r="G63" i="6"/>
  <c r="G64" i="6" s="1"/>
  <c r="G47" i="6"/>
  <c r="G51" i="6" s="1"/>
  <c r="C23" i="7"/>
  <c r="D23" i="7" s="1"/>
  <c r="B24" i="7" s="1"/>
  <c r="I26" i="6"/>
  <c r="K14" i="6"/>
  <c r="K16" i="6" s="1"/>
  <c r="K17" i="6" s="1"/>
  <c r="J15" i="6"/>
  <c r="J46" i="6" s="1"/>
  <c r="J47" i="6" s="1"/>
  <c r="J50" i="6"/>
  <c r="J23" i="6"/>
  <c r="J24" i="6" s="1"/>
  <c r="J25" i="6" s="1"/>
  <c r="J36" i="6" s="1"/>
  <c r="K48" i="6"/>
  <c r="L41" i="6"/>
  <c r="L45" i="6" s="1"/>
  <c r="J63" i="6"/>
  <c r="I51" i="6" l="1"/>
  <c r="I61" i="6" s="1"/>
  <c r="O63" i="9"/>
  <c r="O64" i="9" s="1"/>
  <c r="H50" i="9"/>
  <c r="H15" i="9"/>
  <c r="H23" i="9"/>
  <c r="H24" i="9" s="1"/>
  <c r="G63" i="9"/>
  <c r="G47" i="9"/>
  <c r="G26" i="9"/>
  <c r="I35" i="6"/>
  <c r="I37" i="6" s="1"/>
  <c r="G35" i="6"/>
  <c r="G37" i="6" s="1"/>
  <c r="J51" i="6"/>
  <c r="J61" i="6" s="1"/>
  <c r="H35" i="6"/>
  <c r="H37" i="6" s="1"/>
  <c r="H51" i="6"/>
  <c r="H61" i="6" s="1"/>
  <c r="H62" i="6"/>
  <c r="G62" i="6"/>
  <c r="G61" i="6"/>
  <c r="J26" i="6"/>
  <c r="C24" i="7"/>
  <c r="D24" i="7" s="1"/>
  <c r="B25" i="7" s="1"/>
  <c r="C25" i="7" s="1"/>
  <c r="D25" i="7" s="1"/>
  <c r="B26" i="7" s="1"/>
  <c r="C26" i="7" s="1"/>
  <c r="D26" i="7" s="1"/>
  <c r="K15" i="6"/>
  <c r="K46" i="6" s="1"/>
  <c r="K47" i="6" s="1"/>
  <c r="K23" i="6"/>
  <c r="K24" i="6" s="1"/>
  <c r="K25" i="6" s="1"/>
  <c r="K36" i="6" s="1"/>
  <c r="K50" i="6"/>
  <c r="L14" i="6"/>
  <c r="L16" i="6" s="1"/>
  <c r="L17" i="6" s="1"/>
  <c r="L48" i="6"/>
  <c r="K63" i="6"/>
  <c r="K64" i="6" s="1"/>
  <c r="J62" i="6"/>
  <c r="J64" i="6"/>
  <c r="M41" i="6"/>
  <c r="M45" i="6" s="1"/>
  <c r="M63" i="6" s="1"/>
  <c r="H46" i="9" l="1"/>
  <c r="H47" i="9" s="1"/>
  <c r="H51" i="9" s="1"/>
  <c r="H61" i="9" s="1"/>
  <c r="H17" i="9"/>
  <c r="I14" i="9" s="1"/>
  <c r="I16" i="9" s="1"/>
  <c r="G62" i="9"/>
  <c r="G51" i="9"/>
  <c r="G61" i="9" s="1"/>
  <c r="H62" i="9"/>
  <c r="G64" i="9"/>
  <c r="H69" i="9" s="1"/>
  <c r="H70" i="9"/>
  <c r="H25" i="9"/>
  <c r="H36" i="9" s="1"/>
  <c r="K51" i="6"/>
  <c r="K61" i="6" s="1"/>
  <c r="B27" i="7"/>
  <c r="J35" i="6"/>
  <c r="J37" i="6" s="1"/>
  <c r="L15" i="6"/>
  <c r="L46" i="6" s="1"/>
  <c r="L47" i="6" s="1"/>
  <c r="L50" i="6"/>
  <c r="L23" i="6"/>
  <c r="L24" i="6" s="1"/>
  <c r="L25" i="6" s="1"/>
  <c r="L36" i="6" s="1"/>
  <c r="K26" i="6"/>
  <c r="M14" i="6"/>
  <c r="M16" i="6" s="1"/>
  <c r="M17" i="6" s="1"/>
  <c r="N41" i="6"/>
  <c r="N45" i="6" s="1"/>
  <c r="N63" i="6" s="1"/>
  <c r="K62" i="6"/>
  <c r="M48" i="6"/>
  <c r="M64" i="6" s="1"/>
  <c r="L63" i="6"/>
  <c r="H26" i="9" l="1"/>
  <c r="I50" i="9"/>
  <c r="I23" i="9"/>
  <c r="I24" i="9" s="1"/>
  <c r="I15" i="9"/>
  <c r="H72" i="9"/>
  <c r="C27" i="7"/>
  <c r="D27" i="7" s="1"/>
  <c r="B28" i="7" s="1"/>
  <c r="L51" i="6"/>
  <c r="L61" i="6" s="1"/>
  <c r="K35" i="6"/>
  <c r="K37" i="6" s="1"/>
  <c r="L26" i="6"/>
  <c r="N14" i="6"/>
  <c r="N16" i="6" s="1"/>
  <c r="N17" i="6" s="1"/>
  <c r="M15" i="6"/>
  <c r="M46" i="6" s="1"/>
  <c r="M47" i="6" s="1"/>
  <c r="M62" i="6" s="1"/>
  <c r="M23" i="6"/>
  <c r="M24" i="6" s="1"/>
  <c r="M25" i="6" s="1"/>
  <c r="M36" i="6" s="1"/>
  <c r="M50" i="6"/>
  <c r="L62" i="6"/>
  <c r="L64" i="6"/>
  <c r="N48" i="6"/>
  <c r="N64" i="6" s="1"/>
  <c r="I46" i="9" l="1"/>
  <c r="I47" i="9" s="1"/>
  <c r="I62" i="9" s="1"/>
  <c r="I17" i="9"/>
  <c r="I25" i="9"/>
  <c r="I36" i="9" s="1"/>
  <c r="C28" i="7"/>
  <c r="D28" i="7" s="1"/>
  <c r="B29" i="7" s="1"/>
  <c r="C29" i="7" s="1"/>
  <c r="D29" i="7" s="1"/>
  <c r="B30" i="7" s="1"/>
  <c r="L35" i="6"/>
  <c r="L37" i="6" s="1"/>
  <c r="M51" i="6"/>
  <c r="M61" i="6" s="1"/>
  <c r="M26" i="6"/>
  <c r="N15" i="6"/>
  <c r="N46" i="6" s="1"/>
  <c r="N47" i="6" s="1"/>
  <c r="N23" i="6"/>
  <c r="N24" i="6" s="1"/>
  <c r="N25" i="6" s="1"/>
  <c r="N36" i="6" s="1"/>
  <c r="N50" i="6"/>
  <c r="O14" i="6"/>
  <c r="H70" i="6"/>
  <c r="H69" i="6"/>
  <c r="I51" i="9" l="1"/>
  <c r="I61" i="9" s="1"/>
  <c r="J14" i="9"/>
  <c r="J13" i="9"/>
  <c r="R34" i="9"/>
  <c r="Q34" i="9"/>
  <c r="L34" i="9"/>
  <c r="P34" i="9"/>
  <c r="AH13" i="9"/>
  <c r="P13" i="9"/>
  <c r="AA13" i="9"/>
  <c r="K13" i="9"/>
  <c r="R13" i="9"/>
  <c r="M13" i="9"/>
  <c r="N34" i="9"/>
  <c r="M34" i="9"/>
  <c r="S34" i="9"/>
  <c r="H34" i="9"/>
  <c r="H35" i="9" s="1"/>
  <c r="H37" i="9" s="1"/>
  <c r="AB13" i="9"/>
  <c r="L13" i="9"/>
  <c r="W13" i="9"/>
  <c r="AD13" i="9"/>
  <c r="N13" i="9"/>
  <c r="Y13" i="9"/>
  <c r="J34" i="9"/>
  <c r="I34" i="9"/>
  <c r="K34" i="9"/>
  <c r="AE13" i="9"/>
  <c r="X13" i="9"/>
  <c r="G34" i="9"/>
  <c r="G35" i="9" s="1"/>
  <c r="G37" i="9" s="1"/>
  <c r="S13" i="9"/>
  <c r="Z13" i="9"/>
  <c r="Q13" i="9"/>
  <c r="U13" i="9"/>
  <c r="F34" i="9"/>
  <c r="F35" i="9" s="1"/>
  <c r="F37" i="9" s="1"/>
  <c r="E34" i="9"/>
  <c r="E35" i="9" s="1"/>
  <c r="E37" i="9" s="1"/>
  <c r="AF13" i="9"/>
  <c r="O34" i="9"/>
  <c r="T13" i="9"/>
  <c r="AG13" i="9"/>
  <c r="O13" i="9"/>
  <c r="V13" i="9"/>
  <c r="AC13" i="9"/>
  <c r="I26" i="9"/>
  <c r="I35" i="9" s="1"/>
  <c r="I37" i="9" s="1"/>
  <c r="J50" i="9"/>
  <c r="J23" i="9"/>
  <c r="J24" i="9" s="1"/>
  <c r="J15" i="9"/>
  <c r="J46" i="9" s="1"/>
  <c r="J47" i="9" s="1"/>
  <c r="C30" i="7"/>
  <c r="D30" i="7" s="1"/>
  <c r="B31" i="7" s="1"/>
  <c r="N51" i="6"/>
  <c r="N61" i="6" s="1"/>
  <c r="N62" i="6"/>
  <c r="M35" i="6"/>
  <c r="M37" i="6" s="1"/>
  <c r="H72" i="6"/>
  <c r="O50" i="6"/>
  <c r="O23" i="6"/>
  <c r="O24" i="6" s="1"/>
  <c r="O25" i="6" s="1"/>
  <c r="O15" i="6"/>
  <c r="O46" i="6" s="1"/>
  <c r="O47" i="6" s="1"/>
  <c r="O62" i="6" s="1"/>
  <c r="O16" i="6"/>
  <c r="O17" i="6" s="1"/>
  <c r="P14" i="6" s="1"/>
  <c r="N26" i="6"/>
  <c r="N35" i="6" s="1"/>
  <c r="J16" i="9" l="1"/>
  <c r="J17" i="9" s="1"/>
  <c r="J62" i="9"/>
  <c r="J51" i="9"/>
  <c r="J61" i="9" s="1"/>
  <c r="J25" i="9"/>
  <c r="J36" i="9" s="1"/>
  <c r="K14" i="9"/>
  <c r="C31" i="7"/>
  <c r="D31" i="7" s="1"/>
  <c r="C5" i="7" s="1"/>
  <c r="O51" i="6"/>
  <c r="O61" i="6" s="1"/>
  <c r="N37" i="6"/>
  <c r="P50" i="6"/>
  <c r="P23" i="6"/>
  <c r="P24" i="6" s="1"/>
  <c r="P25" i="6" s="1"/>
  <c r="O26" i="6"/>
  <c r="O35" i="6" s="1"/>
  <c r="O36" i="6"/>
  <c r="P15" i="6"/>
  <c r="P46" i="6" s="1"/>
  <c r="P47" i="6" s="1"/>
  <c r="P16" i="6"/>
  <c r="P17" i="6" s="1"/>
  <c r="J26" i="9" l="1"/>
  <c r="J35" i="9" s="1"/>
  <c r="J37" i="9" s="1"/>
  <c r="K50" i="9"/>
  <c r="K23" i="9"/>
  <c r="K24" i="9" s="1"/>
  <c r="K15" i="9"/>
  <c r="K46" i="9" s="1"/>
  <c r="K47" i="9" s="1"/>
  <c r="K16" i="9"/>
  <c r="K17" i="9" s="1"/>
  <c r="P51" i="6"/>
  <c r="P61" i="6" s="1"/>
  <c r="P62" i="6"/>
  <c r="O37" i="6"/>
  <c r="P26" i="6"/>
  <c r="P35" i="6" s="1"/>
  <c r="P36" i="6"/>
  <c r="Q14" i="6"/>
  <c r="L14" i="9" l="1"/>
  <c r="K62" i="9"/>
  <c r="K51" i="9"/>
  <c r="K61" i="9" s="1"/>
  <c r="K25" i="9"/>
  <c r="K36" i="9" s="1"/>
  <c r="Q50" i="6"/>
  <c r="Q23" i="6"/>
  <c r="Q24" i="6" s="1"/>
  <c r="Q25" i="6" s="1"/>
  <c r="P37" i="6"/>
  <c r="Q15" i="6"/>
  <c r="Q46" i="6" s="1"/>
  <c r="Q47" i="6" s="1"/>
  <c r="Q16" i="6"/>
  <c r="Q17" i="6" s="1"/>
  <c r="K26" i="9" l="1"/>
  <c r="K35" i="9" s="1"/>
  <c r="K37" i="9" s="1"/>
  <c r="L50" i="9"/>
  <c r="L15" i="9"/>
  <c r="L46" i="9" s="1"/>
  <c r="L47" i="9" s="1"/>
  <c r="L23" i="9"/>
  <c r="L24" i="9" s="1"/>
  <c r="L16" i="9"/>
  <c r="L17" i="9" s="1"/>
  <c r="Q51" i="6"/>
  <c r="Q61" i="6" s="1"/>
  <c r="Q62" i="6"/>
  <c r="Q26" i="6"/>
  <c r="Q35" i="6" s="1"/>
  <c r="Q36" i="6"/>
  <c r="R14" i="6"/>
  <c r="M14" i="9" l="1"/>
  <c r="L25" i="9"/>
  <c r="L36" i="9" s="1"/>
  <c r="L62" i="9"/>
  <c r="L51" i="9"/>
  <c r="L61" i="9" s="1"/>
  <c r="R23" i="6"/>
  <c r="R24" i="6" s="1"/>
  <c r="R25" i="6" s="1"/>
  <c r="R50" i="6"/>
  <c r="Q37" i="6"/>
  <c r="R15" i="6"/>
  <c r="R46" i="6" s="1"/>
  <c r="R47" i="6" s="1"/>
  <c r="R16" i="6"/>
  <c r="R17" i="6" s="1"/>
  <c r="L26" i="9" l="1"/>
  <c r="L35" i="9" s="1"/>
  <c r="L37" i="9" s="1"/>
  <c r="M50" i="9"/>
  <c r="M23" i="9"/>
  <c r="M24" i="9" s="1"/>
  <c r="M15" i="9"/>
  <c r="M46" i="9" s="1"/>
  <c r="M47" i="9" s="1"/>
  <c r="M16" i="9"/>
  <c r="M17" i="9" s="1"/>
  <c r="R51" i="6"/>
  <c r="R61" i="6" s="1"/>
  <c r="R62" i="6"/>
  <c r="R26" i="6"/>
  <c r="R35" i="6" s="1"/>
  <c r="R36" i="6"/>
  <c r="S14" i="6"/>
  <c r="M62" i="9" l="1"/>
  <c r="M51" i="9"/>
  <c r="M61" i="9" s="1"/>
  <c r="N14" i="9"/>
  <c r="M25" i="9"/>
  <c r="M36" i="9" s="1"/>
  <c r="S50" i="6"/>
  <c r="S23" i="6"/>
  <c r="S24" i="6" s="1"/>
  <c r="S25" i="6" s="1"/>
  <c r="R37" i="6"/>
  <c r="S15" i="6"/>
  <c r="S46" i="6" s="1"/>
  <c r="S47" i="6" s="1"/>
  <c r="S16" i="6"/>
  <c r="S17" i="6" s="1"/>
  <c r="M26" i="9" l="1"/>
  <c r="M35" i="9" s="1"/>
  <c r="M37" i="9" s="1"/>
  <c r="N50" i="9"/>
  <c r="N23" i="9"/>
  <c r="N24" i="9" s="1"/>
  <c r="N15" i="9"/>
  <c r="N46" i="9" s="1"/>
  <c r="N47" i="9" s="1"/>
  <c r="N16" i="9"/>
  <c r="N17" i="9" s="1"/>
  <c r="S51" i="6"/>
  <c r="S55" i="6"/>
  <c r="S56" i="6" s="1"/>
  <c r="S62" i="6" s="1"/>
  <c r="G70" i="6" s="1"/>
  <c r="S26" i="6"/>
  <c r="S35" i="6" s="1"/>
  <c r="S36" i="6"/>
  <c r="T14" i="6"/>
  <c r="O14" i="9" l="1"/>
  <c r="N62" i="9"/>
  <c r="N51" i="9"/>
  <c r="N61" i="9" s="1"/>
  <c r="N25" i="9"/>
  <c r="N36" i="9" s="1"/>
  <c r="S59" i="6"/>
  <c r="S37" i="6"/>
  <c r="T15" i="6"/>
  <c r="T16" i="6"/>
  <c r="T17" i="6" s="1"/>
  <c r="N26" i="9" l="1"/>
  <c r="N35" i="9" s="1"/>
  <c r="N37" i="9" s="1"/>
  <c r="O50" i="9"/>
  <c r="O23" i="9"/>
  <c r="O24" i="9" s="1"/>
  <c r="O15" i="9"/>
  <c r="O46" i="9" s="1"/>
  <c r="O47" i="9" s="1"/>
  <c r="O16" i="9"/>
  <c r="O17" i="9" s="1"/>
  <c r="S61" i="6"/>
  <c r="U14" i="6"/>
  <c r="G69" i="6" l="1"/>
  <c r="G72" i="6" s="1"/>
  <c r="P14" i="9"/>
  <c r="O62" i="9"/>
  <c r="O51" i="9"/>
  <c r="O61" i="9" s="1"/>
  <c r="O25" i="9"/>
  <c r="O36" i="9" s="1"/>
  <c r="U15" i="6"/>
  <c r="U16" i="6"/>
  <c r="U17" i="6" s="1"/>
  <c r="O26" i="9" l="1"/>
  <c r="O35" i="9" s="1"/>
  <c r="O37" i="9" s="1"/>
  <c r="P50" i="9"/>
  <c r="P15" i="9"/>
  <c r="P46" i="9" s="1"/>
  <c r="P47" i="9" s="1"/>
  <c r="P23" i="9"/>
  <c r="P24" i="9" s="1"/>
  <c r="P16" i="9"/>
  <c r="P17" i="9" s="1"/>
  <c r="V14" i="6"/>
  <c r="Q14" i="9" l="1"/>
  <c r="P62" i="9"/>
  <c r="P51" i="9"/>
  <c r="P61" i="9" s="1"/>
  <c r="P25" i="9"/>
  <c r="P36" i="9" s="1"/>
  <c r="V15" i="6"/>
  <c r="V16" i="6"/>
  <c r="V17" i="6" s="1"/>
  <c r="P26" i="9" l="1"/>
  <c r="P35" i="9" s="1"/>
  <c r="P37" i="9" s="1"/>
  <c r="Q50" i="9"/>
  <c r="Q23" i="9"/>
  <c r="Q24" i="9" s="1"/>
  <c r="Q15" i="9"/>
  <c r="Q46" i="9" s="1"/>
  <c r="Q47" i="9" s="1"/>
  <c r="Q16" i="9"/>
  <c r="Q17" i="9" s="1"/>
  <c r="W14" i="6"/>
  <c r="R14" i="9" l="1"/>
  <c r="Q25" i="9"/>
  <c r="Q36" i="9" s="1"/>
  <c r="Q62" i="9"/>
  <c r="Q51" i="9"/>
  <c r="Q61" i="9" s="1"/>
  <c r="W15" i="6"/>
  <c r="W16" i="6"/>
  <c r="W17" i="6" s="1"/>
  <c r="Q26" i="9" l="1"/>
  <c r="Q35" i="9" s="1"/>
  <c r="Q37" i="9" s="1"/>
  <c r="R50" i="9"/>
  <c r="R23" i="9"/>
  <c r="R24" i="9" s="1"/>
  <c r="R15" i="9"/>
  <c r="R46" i="9" s="1"/>
  <c r="R47" i="9" s="1"/>
  <c r="R16" i="9"/>
  <c r="R17" i="9" s="1"/>
  <c r="X14" i="6"/>
  <c r="R62" i="9" l="1"/>
  <c r="R51" i="9"/>
  <c r="R61" i="9" s="1"/>
  <c r="S14" i="9"/>
  <c r="R25" i="9"/>
  <c r="R36" i="9" s="1"/>
  <c r="X15" i="6"/>
  <c r="X16" i="6"/>
  <c r="X17" i="6" s="1"/>
  <c r="S50" i="9" l="1"/>
  <c r="S23" i="9"/>
  <c r="S24" i="9" s="1"/>
  <c r="S15" i="9"/>
  <c r="S46" i="9" s="1"/>
  <c r="S47" i="9" s="1"/>
  <c r="S16" i="9"/>
  <c r="S17" i="9" s="1"/>
  <c r="R26" i="9"/>
  <c r="R35" i="9" s="1"/>
  <c r="R37" i="9" s="1"/>
  <c r="Y14" i="6"/>
  <c r="S55" i="9" l="1"/>
  <c r="S56" i="9" s="1"/>
  <c r="S59" i="9" s="1"/>
  <c r="T14" i="9"/>
  <c r="S25" i="9"/>
  <c r="S36" i="9" s="1"/>
  <c r="S51" i="9"/>
  <c r="Y15" i="6"/>
  <c r="Y16" i="6"/>
  <c r="Y17" i="6" s="1"/>
  <c r="S62" i="9" l="1"/>
  <c r="G70" i="9" s="1"/>
  <c r="T15" i="9"/>
  <c r="T16" i="9"/>
  <c r="T17" i="9" s="1"/>
  <c r="S26" i="9"/>
  <c r="S35" i="9" s="1"/>
  <c r="S37" i="9" s="1"/>
  <c r="S61" i="9"/>
  <c r="G69" i="9" s="1"/>
  <c r="Z14" i="6"/>
  <c r="G72" i="9" l="1"/>
  <c r="U14" i="9"/>
  <c r="Z15" i="6"/>
  <c r="Z16" i="6"/>
  <c r="Z17" i="6" s="1"/>
  <c r="AA14" i="6" s="1"/>
  <c r="U15" i="9" l="1"/>
  <c r="U16" i="9"/>
  <c r="U17" i="9" s="1"/>
  <c r="AA15" i="6"/>
  <c r="AA16" i="6"/>
  <c r="AA17" i="6" s="1"/>
  <c r="V14" i="9" l="1"/>
  <c r="AB14" i="6"/>
  <c r="AB15" i="6" s="1"/>
  <c r="V15" i="9" l="1"/>
  <c r="V16" i="9"/>
  <c r="V17" i="9" s="1"/>
  <c r="AB16" i="6"/>
  <c r="AB17" i="6" s="1"/>
  <c r="AC14" i="6" s="1"/>
  <c r="W14" i="9" l="1"/>
  <c r="AC15" i="6"/>
  <c r="AC16" i="6"/>
  <c r="AC17" i="6" s="1"/>
  <c r="AD14" i="6" s="1"/>
  <c r="AD16" i="6" s="1"/>
  <c r="AD17" i="6" s="1"/>
  <c r="W15" i="9" l="1"/>
  <c r="W16" i="9"/>
  <c r="W17" i="9" s="1"/>
  <c r="AD15" i="6"/>
  <c r="AE14" i="6"/>
  <c r="AE15" i="6" s="1"/>
  <c r="X14" i="9" l="1"/>
  <c r="AE16" i="6"/>
  <c r="AE17" i="6" s="1"/>
  <c r="AF14" i="6" s="1"/>
  <c r="AF15" i="6" s="1"/>
  <c r="X15" i="9" l="1"/>
  <c r="X16" i="9"/>
  <c r="X17" i="9" s="1"/>
  <c r="AF16" i="6"/>
  <c r="AF17" i="6" s="1"/>
  <c r="AG14" i="6" s="1"/>
  <c r="AG15" i="6" s="1"/>
  <c r="Y14" i="9" l="1"/>
  <c r="AG16" i="6"/>
  <c r="AG17" i="6" s="1"/>
  <c r="AH14" i="6" s="1"/>
  <c r="Y15" i="9" l="1"/>
  <c r="Y16" i="9"/>
  <c r="Y17" i="9" s="1"/>
  <c r="AH15" i="6"/>
  <c r="AH16" i="6"/>
  <c r="AH17" i="6" s="1"/>
  <c r="Z14" i="9" l="1"/>
  <c r="Z15" i="9" l="1"/>
  <c r="Z16" i="9"/>
  <c r="Z17" i="9" s="1"/>
  <c r="AA14" i="9" l="1"/>
  <c r="AA15" i="9" l="1"/>
  <c r="AA16" i="9"/>
  <c r="AA17" i="9" s="1"/>
  <c r="AB14" i="9" l="1"/>
  <c r="AB15" i="9" l="1"/>
  <c r="AB16" i="9"/>
  <c r="AB17" i="9" s="1"/>
  <c r="AC14" i="9" l="1"/>
  <c r="AC15" i="9" l="1"/>
  <c r="AC16" i="9"/>
  <c r="AC17" i="9" s="1"/>
  <c r="AD14" i="9" l="1"/>
  <c r="AD15" i="9" l="1"/>
  <c r="AD16" i="9"/>
  <c r="AD17" i="9" s="1"/>
  <c r="AE14" i="9" l="1"/>
  <c r="AE15" i="9" l="1"/>
  <c r="AE16" i="9"/>
  <c r="AE17" i="9" s="1"/>
  <c r="AF14" i="9" l="1"/>
  <c r="AF15" i="9" l="1"/>
  <c r="AF16" i="9"/>
  <c r="AF17" i="9" s="1"/>
  <c r="AG14" i="9" l="1"/>
  <c r="AG15" i="9" l="1"/>
  <c r="AG16" i="9"/>
  <c r="AG17" i="9" s="1"/>
  <c r="AH14" i="9" l="1"/>
  <c r="AH15" i="9" l="1"/>
  <c r="AH16" i="9"/>
  <c r="AH17" i="9" s="1"/>
</calcChain>
</file>

<file path=xl/sharedStrings.xml><?xml version="1.0" encoding="utf-8"?>
<sst xmlns="http://schemas.openxmlformats.org/spreadsheetml/2006/main" count="565" uniqueCount="266">
  <si>
    <t>Dunder Mifflin Consulting</t>
  </si>
  <si>
    <t>Project</t>
  </si>
  <si>
    <t>Stafford Pavilion</t>
  </si>
  <si>
    <t>3013 Ponce de Leon Blvd</t>
  </si>
  <si>
    <t>Mixed Use Building - Zone #</t>
  </si>
  <si>
    <t>Overview</t>
  </si>
  <si>
    <t>Dunder Mifflin Consulting believes Jones Lang Lasalle should build a 3 story multi-use building</t>
  </si>
  <si>
    <t>with a parking structure at 3013 Ponce de Leon Blvd. The property will consist of 38,445 sq. ft.</t>
  </si>
  <si>
    <t xml:space="preserve">of commerical use in the form of a grocery store and a recreational center on the ground floor, </t>
  </si>
  <si>
    <t xml:space="preserve">followed by 82,000 sq. ft. of residential use in the form of 1 and 2 bedroom apartment units. </t>
  </si>
  <si>
    <t xml:space="preserve">Finally, a 43,200 sq. ft. parking structure will also be a part of this multi-use facilitiy. </t>
  </si>
  <si>
    <t>Assumptions</t>
  </si>
  <si>
    <t>This page highlights the assumptions used to calculate yearly cash flows .</t>
  </si>
  <si>
    <t>ProForma</t>
  </si>
  <si>
    <t>Sensitivity Analysis</t>
  </si>
  <si>
    <t>This page highlights how change in certain assumptions affects yearly cash flows and the IRR.</t>
  </si>
  <si>
    <t>Works Cited</t>
  </si>
  <si>
    <t>This page highligths the sources used to supports the assumptions.</t>
  </si>
  <si>
    <t xml:space="preserve">Dunder Mifflin </t>
  </si>
  <si>
    <t>Christina</t>
  </si>
  <si>
    <t>Chase</t>
  </si>
  <si>
    <t>Jack</t>
  </si>
  <si>
    <t>Raghav</t>
  </si>
  <si>
    <t>Team</t>
  </si>
  <si>
    <t>Silva</t>
  </si>
  <si>
    <t>Windham</t>
  </si>
  <si>
    <t>Heflin</t>
  </si>
  <si>
    <t>Arora</t>
  </si>
  <si>
    <t>Site Assumptions (1 Floor)</t>
  </si>
  <si>
    <t>Estimate</t>
  </si>
  <si>
    <t>Misc Assumptions</t>
  </si>
  <si>
    <t>Total Development Area (sq feet)</t>
  </si>
  <si>
    <t>Commercial Cap Rate</t>
  </si>
  <si>
    <t>Residential</t>
  </si>
  <si>
    <t>Capital Expenditures (% of hard cost)</t>
  </si>
  <si>
    <t>Commerical</t>
  </si>
  <si>
    <t>Average Sales Price Per square Feet (CB)</t>
  </si>
  <si>
    <t>Parking</t>
  </si>
  <si>
    <t>Soft Costs (% of hard costs)</t>
  </si>
  <si>
    <t>Residential Vacancy</t>
  </si>
  <si>
    <t>Development Costs (% of hard costs)</t>
  </si>
  <si>
    <t>Commercial Vacancy</t>
  </si>
  <si>
    <t>Total Project Years</t>
  </si>
  <si>
    <t>Land Value</t>
  </si>
  <si>
    <t>TOTAL Property Value</t>
  </si>
  <si>
    <t>Years to Project Completion</t>
  </si>
  <si>
    <t>Residential- 1 Bedroom</t>
  </si>
  <si>
    <t>Residential- 2 Bedroom</t>
  </si>
  <si>
    <t>Residential- 2 Bedroom (HUD)</t>
  </si>
  <si>
    <t>Total square Feet (1 floor)</t>
  </si>
  <si>
    <t>Total square Feet (1 Floor)</t>
  </si>
  <si>
    <t>Number of Floors</t>
  </si>
  <si>
    <t>Hard Costs ($ per square foot)</t>
  </si>
  <si>
    <t>Soft Costs ($ per square foot)</t>
  </si>
  <si>
    <t>Initial rent ($ per square foot per month)</t>
  </si>
  <si>
    <t>Years from first paycheck</t>
  </si>
  <si>
    <t>Vacancy Rate</t>
  </si>
  <si>
    <t>Year 1 vacancy rate</t>
  </si>
  <si>
    <t>Square Feet Per Unit</t>
  </si>
  <si>
    <t>Number of Units</t>
  </si>
  <si>
    <t>Number of Months per Year</t>
  </si>
  <si>
    <t>Revenue Growth Rate</t>
  </si>
  <si>
    <t>Commercial- Grocery Store</t>
  </si>
  <si>
    <t>Commercial- Recreational Center</t>
  </si>
  <si>
    <t>Parking Structure</t>
  </si>
  <si>
    <t>Total square Feet</t>
  </si>
  <si>
    <t>Average Size for 1 Parking Spot (square feet)</t>
  </si>
  <si>
    <t>Number of Parking Spots</t>
  </si>
  <si>
    <t>Number of Months per year</t>
  </si>
  <si>
    <t>Rent ($ per square foot per month)</t>
  </si>
  <si>
    <t>Commission Cost ($ per square foot)</t>
  </si>
  <si>
    <t>Tenant improvements ($ per square foot)</t>
  </si>
  <si>
    <t>Expense Assumptions</t>
  </si>
  <si>
    <t>Construction Costs</t>
  </si>
  <si>
    <t>Non-Reimbursement Expenses</t>
  </si>
  <si>
    <t>General/Administrative (1.5 % property value)</t>
  </si>
  <si>
    <t>Estimated Hard Costs</t>
  </si>
  <si>
    <t>Insurance Expenses (.25% property value)</t>
  </si>
  <si>
    <t>Estimated Soft Costs</t>
  </si>
  <si>
    <t>Advertising and Promotion</t>
  </si>
  <si>
    <t>Commercial</t>
  </si>
  <si>
    <t>Repairs &amp; Maintenance (0.5% property value)</t>
  </si>
  <si>
    <t xml:space="preserve">Replacement Reserves </t>
  </si>
  <si>
    <t>Janitorial Per Year</t>
  </si>
  <si>
    <t>Residential+Commercial</t>
  </si>
  <si>
    <t>Landscape Per Year</t>
  </si>
  <si>
    <t>Development Costs</t>
  </si>
  <si>
    <t>Reimbursable Expenses</t>
  </si>
  <si>
    <t>Total Construction Costs</t>
  </si>
  <si>
    <t>Utilities (Gas, Electric, Water, Garbage)</t>
  </si>
  <si>
    <t>YEAR</t>
  </si>
  <si>
    <t>OPERATING DURING YEAR</t>
  </si>
  <si>
    <t>GROSS INCOME</t>
  </si>
  <si>
    <t>VACANCY ALLOWANCE</t>
  </si>
  <si>
    <t>EFFECTIVE GROSS INCOME</t>
  </si>
  <si>
    <t>TENANT REIMBURSEMENTS</t>
  </si>
  <si>
    <t>Residential Utilities</t>
  </si>
  <si>
    <t>Commerical Utilities</t>
  </si>
  <si>
    <t>TOTAL INCOME</t>
  </si>
  <si>
    <t>OPERATING EXPENSES</t>
  </si>
  <si>
    <t>REIMBURSABLE EXPENSES</t>
  </si>
  <si>
    <t>TOTAL EXPENSES</t>
  </si>
  <si>
    <t>NOI</t>
  </si>
  <si>
    <t>Total NOI from Operations</t>
  </si>
  <si>
    <t>Total NOI from Reversion</t>
  </si>
  <si>
    <t>Total NOI</t>
  </si>
  <si>
    <t>COMMISION AND TENANT IMPROVEMENTS</t>
  </si>
  <si>
    <t>Commision</t>
  </si>
  <si>
    <t>Tenant Improvements</t>
  </si>
  <si>
    <t>CONSTRUCTION COSTS</t>
  </si>
  <si>
    <t>CAPITAL EXPENDITURES</t>
  </si>
  <si>
    <t>TOTAL CASH FLOWS</t>
  </si>
  <si>
    <t>Cash Flows</t>
  </si>
  <si>
    <t>IRR</t>
  </si>
  <si>
    <t>Years To Project Completion</t>
  </si>
  <si>
    <t>Sources</t>
  </si>
  <si>
    <t>Site Assumptions</t>
  </si>
  <si>
    <t xml:space="preserve">Survey T-Plat: Provided in supported documents from Canvas </t>
  </si>
  <si>
    <t>Survey T-Plat, Estimated using square feet per unit times number of units for 1 and 2 bedroom residential apartments. Includes 2 bedroom HUD apartments. SUM total square feet.</t>
  </si>
  <si>
    <t>Survey T-Plat, Estimated by subtracting total residential square feet from total area composed under tract F+G from the survey T-Plat</t>
  </si>
  <si>
    <t>Survey T-Plat, Estimated using total area from tract C+A</t>
  </si>
  <si>
    <t>https://www.cushmanwakefield.com/-/media/cw/americas/united-states/insights-pdfs/south-florida-multifamily-midyear-update-2020.pdf?rev=c71687a59db4480f90c76a5986b72eeb</t>
  </si>
  <si>
    <t>https://www.coralgables.com/media/Economic%20Development/Gables-Business-Report%20February%202020%20ADA%20Approved.pdf</t>
  </si>
  <si>
    <t>Total development area (sq feet) times Average sales price per square feet (GB)</t>
  </si>
  <si>
    <t>Property Value</t>
  </si>
  <si>
    <t>(Total residential sq ft times number of floors + Total commercial sq ft+ Total Parking sq ft times number of floors)* Average sales price per square feet (GB)</t>
  </si>
  <si>
    <r>
      <rPr>
        <u/>
        <sz val="12"/>
        <color rgb="FF000000"/>
        <rFont val="Arial"/>
        <family val="2"/>
      </rPr>
      <t xml:space="preserve">https://www.loopnet.com/Listing/2690-SW-22nd-St-Coral-Gables-FL/20956722/- </t>
    </r>
    <r>
      <rPr>
        <sz val="12"/>
        <color theme="1"/>
        <rFont val="Arial"/>
        <family val="2"/>
      </rPr>
      <t>Averaged several commercial cap rates in coral cables on the loopnet website</t>
    </r>
  </si>
  <si>
    <t>refered to several past pro formas from other peoples work (oceano, ludlow station). All kept capital expenditures to 20% of hard costs</t>
  </si>
  <si>
    <t>Average Sales Price Per Square Feet (GB)</t>
  </si>
  <si>
    <r>
      <rPr>
        <u/>
        <sz val="12"/>
        <color rgb="FF000000"/>
        <rFont val="Arial"/>
        <family val="2"/>
      </rPr>
      <t xml:space="preserve">https://www.loopnet.com/Listing/2690-SW-22nd-St-Coral-Gables-FL/20956722/- </t>
    </r>
    <r>
      <rPr>
        <sz val="12"/>
        <color theme="1"/>
        <rFont val="Arial"/>
        <family val="2"/>
      </rPr>
      <t>Averaged several commercial cap rates in coral cables on the loopnet website, support packets on Canvas</t>
    </r>
  </si>
  <si>
    <t>Professor Pratish email on Canvas</t>
  </si>
  <si>
    <t>BUS 434 Midterm Project Directions</t>
  </si>
  <si>
    <t>Guesstimate</t>
  </si>
  <si>
    <t>https://www.homeadvisor.com/myhomeadvisor/myprojects/191731465?template_id=80017&amp;todo_id=3806141840&amp;entry_point_id=31109932&amp;entityID=108334257&amp;comm_auth_dt=202011082151&amp;comm_auth_id=homeadv&amp;comm_auth_hash=c15695c3e33f9a78c9164924626947e4</t>
  </si>
  <si>
    <t>Total Square Feet</t>
  </si>
  <si>
    <t>(Square feet per unit*number of units)/number of floors</t>
  </si>
  <si>
    <t>Personal choice/Zoning restrictions PAD</t>
  </si>
  <si>
    <r>
      <rPr>
        <u/>
        <sz val="12"/>
        <color rgb="FF1155CC"/>
        <rFont val="Arial"/>
        <family val="2"/>
      </rPr>
      <t>fixr.com</t>
    </r>
    <r>
      <rPr>
        <sz val="12"/>
        <color theme="1"/>
        <rFont val="Arial"/>
        <family val="2"/>
      </rPr>
      <t>, homeadvisor.com: reached out to contractors in Miami Florida for a free estimate (Julien)</t>
    </r>
  </si>
  <si>
    <t>Soft Costs ($ per sqaure foot)</t>
  </si>
  <si>
    <t>Refer to Misc Assumptions</t>
  </si>
  <si>
    <t>Inital rent ($ per square foot per month)</t>
  </si>
  <si>
    <r>
      <t xml:space="preserve">Averaged asking rent per square feet in coral gables using supoorted documents form Canvas, and comparables analysis on </t>
    </r>
    <r>
      <rPr>
        <u/>
        <sz val="12"/>
        <color rgb="FF1155CC"/>
        <rFont val="Arial"/>
        <family val="2"/>
      </rPr>
      <t>realtor.com</t>
    </r>
    <r>
      <rPr>
        <sz val="12"/>
        <color theme="1"/>
        <rFont val="Arial"/>
        <family val="2"/>
      </rPr>
      <t xml:space="preserve">, </t>
    </r>
    <r>
      <rPr>
        <u/>
        <sz val="12"/>
        <color rgb="FF1155CC"/>
        <rFont val="Arial"/>
        <family val="2"/>
      </rPr>
      <t>loopnet.com</t>
    </r>
    <r>
      <rPr>
        <sz val="12"/>
        <color theme="1"/>
        <rFont val="Arial"/>
        <family val="2"/>
      </rPr>
      <t xml:space="preserve"> and </t>
    </r>
    <r>
      <rPr>
        <u/>
        <sz val="12"/>
        <color rgb="FF1155CC"/>
        <rFont val="Arial"/>
        <family val="2"/>
      </rPr>
      <t>zillow.com</t>
    </r>
  </si>
  <si>
    <t>Refer to Site Assumptions</t>
  </si>
  <si>
    <t>Averaged square feet per unit for 1 bedroom unit mix in coral gables using supoorted documents form Canvas, and comparables analysis on realtor.com, loopnet.com and zillow.com</t>
  </si>
  <si>
    <t>Survey T-Plat: having total development area (site assumptions), number of floor and sqaure feet per unit, this value was derived via a calculation</t>
  </si>
  <si>
    <t>Calendar</t>
  </si>
  <si>
    <t>https://multifamily.cushwake.com/Download/File?Path=%2FFiles%5CRegions%5C2%5CMarket%20Research%5CFlorida%5CQuarterly%20Market%20Reports%5C2019%5CQ2%5C2019.Q2%20-%20Florida%20Multifamily%20Report.pdf&amp;Method=Attachment</t>
  </si>
  <si>
    <t xml:space="preserve">Residential- 2 Bedroom </t>
  </si>
  <si>
    <r>
      <rPr>
        <u/>
        <sz val="12"/>
        <color rgb="FF1155CC"/>
        <rFont val="Arial"/>
        <family val="2"/>
      </rPr>
      <t>fixr.com</t>
    </r>
    <r>
      <rPr>
        <sz val="12"/>
        <color theme="1"/>
        <rFont val="Arial"/>
        <family val="2"/>
      </rPr>
      <t>, homeadvisor.com: reached out to contractors in Miami Florida for a free estimate (Julien)</t>
    </r>
  </si>
  <si>
    <r>
      <t xml:space="preserve">Averaged asking rent per square feet in coral gables using supoorted documents form Canvas, and comparables analysis on </t>
    </r>
    <r>
      <rPr>
        <u/>
        <sz val="12"/>
        <color rgb="FF1155CC"/>
        <rFont val="Arial"/>
        <family val="2"/>
      </rPr>
      <t>realtor.com</t>
    </r>
    <r>
      <rPr>
        <sz val="12"/>
        <color theme="1"/>
        <rFont val="Arial"/>
        <family val="2"/>
      </rPr>
      <t xml:space="preserve">, </t>
    </r>
    <r>
      <rPr>
        <u/>
        <sz val="12"/>
        <color rgb="FF1155CC"/>
        <rFont val="Arial"/>
        <family val="2"/>
      </rPr>
      <t>loopnet.com</t>
    </r>
    <r>
      <rPr>
        <sz val="12"/>
        <color theme="1"/>
        <rFont val="Arial"/>
        <family val="2"/>
      </rPr>
      <t xml:space="preserve"> and </t>
    </r>
    <r>
      <rPr>
        <u/>
        <sz val="12"/>
        <color rgb="FF1155CC"/>
        <rFont val="Arial"/>
        <family val="2"/>
      </rPr>
      <t>zillow.com</t>
    </r>
  </si>
  <si>
    <t>Averaged square feet per unit for 2 bedroom unit mix in coral gables using supoorted documents form Canvas, and comparables analysis on realtor.com, loopnet.com and zillow.com</t>
  </si>
  <si>
    <r>
      <rPr>
        <u/>
        <sz val="12"/>
        <color rgb="FF1155CC"/>
        <rFont val="Arial"/>
        <family val="2"/>
      </rPr>
      <t>fixr.com</t>
    </r>
    <r>
      <rPr>
        <sz val="12"/>
        <color theme="1"/>
        <rFont val="Arial"/>
        <family val="2"/>
      </rPr>
      <t>, homeadvisor.com: reached out to contractors in Miami Florida for a free estimate (Julien)/https://www.federalregister.gov/documents/2002/12/10/02-31080/public-housing-total-development-cost</t>
    </r>
  </si>
  <si>
    <r>
      <t xml:space="preserve">Averaged asking rent per square feet in coral gables using supoorted documents form Canvas, and comparables analysis on </t>
    </r>
    <r>
      <rPr>
        <u/>
        <sz val="12"/>
        <color rgb="FF1155CC"/>
        <rFont val="Arial"/>
        <family val="2"/>
      </rPr>
      <t>realtor.com</t>
    </r>
    <r>
      <rPr>
        <sz val="12"/>
        <color theme="1"/>
        <rFont val="Arial"/>
        <family val="2"/>
      </rPr>
      <t xml:space="preserve">, </t>
    </r>
    <r>
      <rPr>
        <u/>
        <sz val="12"/>
        <color rgb="FF1155CC"/>
        <rFont val="Arial"/>
        <family val="2"/>
      </rPr>
      <t>loopnet.com</t>
    </r>
    <r>
      <rPr>
        <sz val="12"/>
        <color theme="1"/>
        <rFont val="Arial"/>
        <family val="2"/>
      </rPr>
      <t xml:space="preserve"> and </t>
    </r>
    <r>
      <rPr>
        <u/>
        <sz val="12"/>
        <color rgb="FF1155CC"/>
        <rFont val="Arial"/>
        <family val="2"/>
      </rPr>
      <t>zillow.com</t>
    </r>
  </si>
  <si>
    <t>Assumes 0% vacancy rate, due to HUD/section 8 housing having such a long waitist.</t>
  </si>
  <si>
    <t>Commercial- Retail (Grocery Store)</t>
  </si>
  <si>
    <t>Site assumptions</t>
  </si>
  <si>
    <t>Bus 434: Midterm Project Directions</t>
  </si>
  <si>
    <t>https://www.cre-sources.com/wp-content/uploads/2013/02/REAL-CAPITAL-PARTNERS-Miami-Dade-County-Retail-Market-Report-4Q16.pdf</t>
  </si>
  <si>
    <t>https://chicagobroker.com/chicago-commercial-real-estate-leasing-commission-structures/</t>
  </si>
  <si>
    <t>https://homeguides.sfgate.com/retail-leases-tenant-improvements-48493.html</t>
  </si>
  <si>
    <t>Commercial- Retail (Recreational Center)</t>
  </si>
  <si>
    <t>https://thehustle.co/gym-membership-cost#:~:text=Membership%20fees%20vary%20widely%20based,month%2C%20or%20%24696%20per%20year.</t>
  </si>
  <si>
    <t xml:space="preserve">Site Assumptions </t>
  </si>
  <si>
    <t>Personal Choice/Zoning Restrictions</t>
  </si>
  <si>
    <t>https://usa.streetsblog.org/2016/07/05/parking-takes-up-more-space-than-you-think/#:~:text=A%20standard%20parking%20space%20is,feet%20(7.3%20meters)%20wide.</t>
  </si>
  <si>
    <t>(Total square feet*number of floors)/average sq ft per parking spot</t>
  </si>
  <si>
    <t>https://www.fixr.com/costs/build-parking-garage#:~:text=However%2C%20the%20national%20average%20cost,on%20their%20total%20square%20footage.</t>
  </si>
  <si>
    <t>https://www.pasadenastarnews.com/2018/02/23/how-much-space-your-rental-dollar-buys-for-los-angeles-and-orange-counties-apartments//https://www.reinventingparking.org/2015/06/how-much-does-one-parking-spot-add-to.html</t>
  </si>
  <si>
    <t>https://www.kentleyinsights.com/Parking-Lots-and-Garages-industry-market-research-report/#:~:text=Over%20the%20past%203%20years,reach%20%2413.1%20billion%20in%20revenue.</t>
  </si>
  <si>
    <t>https://ops.fhwa.dot.gov/publications/fhwahop12026/sec_2.htm#:~:text=Parking%20experts%20generally%20agree%20that,that%20pricing%20is%20too%20high.</t>
  </si>
  <si>
    <t>https://www.homeadvisor.com/myhomeadvisor/myprojects/191731282</t>
  </si>
  <si>
    <t>https://aquilacommercial.com/learning-center/how-much-cost-to-market-commercial-property/</t>
  </si>
  <si>
    <t>Replacement Reserves</t>
  </si>
  <si>
    <t>https://www.flagshipbanks.com/blog/avoiding-costly-repairs-on-your-commercial-real-estate//https://smallbusiness.chron.com/calculate-commercial-per-square-foot-replacement-reserves-35667.html</t>
  </si>
  <si>
    <t>https://janitorial.promatcher.com/cost/#:~:text=How%20Much%20Do%20Janitorial%20Services,space%20needs%20to%20be%20cleaned.</t>
  </si>
  <si>
    <t>https://homeguide.com/costs/landscaping-costs</t>
  </si>
  <si>
    <t>https://www.move.org/utility-bills-101/</t>
  </si>
  <si>
    <t>Calculation Based</t>
  </si>
  <si>
    <t>Calculation Based/Misc Assumptions</t>
  </si>
  <si>
    <t>Implicit Assumptions</t>
  </si>
  <si>
    <t>Financing Assumptions</t>
  </si>
  <si>
    <t>Property Purchase Price (Year 0)</t>
  </si>
  <si>
    <t>NOI Growth Rate</t>
  </si>
  <si>
    <t>Loan to Value</t>
  </si>
  <si>
    <t>Depreciable Cost Basis</t>
  </si>
  <si>
    <t>Loan Amt</t>
  </si>
  <si>
    <t>Ordinary Income Tax Rate</t>
  </si>
  <si>
    <t>Initial Cap rate</t>
  </si>
  <si>
    <t>Interest rate</t>
  </si>
  <si>
    <t>Capital Gains Tax Rate</t>
  </si>
  <si>
    <t>Final Cap rate</t>
  </si>
  <si>
    <t>Principal Payback</t>
  </si>
  <si>
    <t>Depreciation Recapture</t>
  </si>
  <si>
    <t>Year</t>
  </si>
  <si>
    <t>Financing Items</t>
  </si>
  <si>
    <t>Principal Payment</t>
  </si>
  <si>
    <t>Interest Payment</t>
  </si>
  <si>
    <t>Total Payment</t>
  </si>
  <si>
    <t>Ending Principal</t>
  </si>
  <si>
    <t>Operating Accrual Items</t>
  </si>
  <si>
    <t>Depreciation Expense</t>
  </si>
  <si>
    <t>Interest Expense</t>
  </si>
  <si>
    <t>Net Income (Before Tax)</t>
  </si>
  <si>
    <t>Income Tax</t>
  </si>
  <si>
    <t>Net Income (After Tax)</t>
  </si>
  <si>
    <t>Adjusting Accrual to reflect Cash flow</t>
  </si>
  <si>
    <t>Capital Expenditure</t>
  </si>
  <si>
    <t>Debt Amortization</t>
  </si>
  <si>
    <t>Earnings After Tax Cash Flow (EATCF)</t>
  </si>
  <si>
    <t>Earnings Before Tax Cash Flow (EBTCF)</t>
  </si>
  <si>
    <t>Cash Flow Components Format</t>
  </si>
  <si>
    <t>PBTCF</t>
  </si>
  <si>
    <t>Debt Service</t>
  </si>
  <si>
    <t>EBTCF</t>
  </si>
  <si>
    <t>Tax on NOI</t>
  </si>
  <si>
    <t>DTS</t>
  </si>
  <si>
    <t>ITS</t>
  </si>
  <si>
    <t>EATCF</t>
  </si>
  <si>
    <t>Reversion</t>
  </si>
  <si>
    <t>Sale Price</t>
  </si>
  <si>
    <t>Loan Balance</t>
  </si>
  <si>
    <t>Tax on Market Gain</t>
  </si>
  <si>
    <t>Levered Cashflows After Tax</t>
  </si>
  <si>
    <t>Levered Cashflows Before Tax</t>
  </si>
  <si>
    <t>Unlevered Cashflows Before Tax</t>
  </si>
  <si>
    <t>Unlevered Cashflows After Tax</t>
  </si>
  <si>
    <t>Levered</t>
  </si>
  <si>
    <t>Unlevered</t>
  </si>
  <si>
    <t>After Tax IRR</t>
  </si>
  <si>
    <t>Before Tax IRR</t>
  </si>
  <si>
    <t>Effective Tax Rate</t>
  </si>
  <si>
    <t xml:space="preserve">Asset Details: </t>
  </si>
  <si>
    <t>Value</t>
  </si>
  <si>
    <t>Salvage</t>
  </si>
  <si>
    <t xml:space="preserve">Rate </t>
  </si>
  <si>
    <t>Asset Life:</t>
  </si>
  <si>
    <t>(Years)</t>
  </si>
  <si>
    <t>Depreication Schedule:</t>
  </si>
  <si>
    <t>Beginning</t>
  </si>
  <si>
    <t>Depreciation</t>
  </si>
  <si>
    <t xml:space="preserve">Ending </t>
  </si>
  <si>
    <t>Years</t>
  </si>
  <si>
    <t xml:space="preserve">Principal Repayment </t>
  </si>
  <si>
    <t xml:space="preserve">Commission and Tenant Improvements </t>
  </si>
  <si>
    <t>Before Tax- Levered</t>
  </si>
  <si>
    <t>Before Tax- Unlevered</t>
  </si>
  <si>
    <t>After Tax- Unlevered</t>
  </si>
  <si>
    <t>After Tax- Levered</t>
  </si>
  <si>
    <t>Current Rental Growth</t>
  </si>
  <si>
    <t>Rental Growth down 1%</t>
  </si>
  <si>
    <t>Cap Rate</t>
  </si>
  <si>
    <t>5 (current)</t>
  </si>
  <si>
    <t>3 (current)</t>
  </si>
  <si>
    <t>Interest Rate</t>
  </si>
  <si>
    <t>4.5  (current)</t>
  </si>
  <si>
    <t>Depreciation Life (years)</t>
  </si>
  <si>
    <t>This page highligths the calculations used to calculate yearly cash flows without leverage and tax.</t>
  </si>
  <si>
    <t>30 Year Fixed Mortgage</t>
  </si>
  <si>
    <t>Interest Only Mortgage</t>
  </si>
  <si>
    <t>Depreciation Schedule</t>
  </si>
  <si>
    <t xml:space="preserve">This page highligths the calculations used to calculate yearly cash flows with leverage and tax using </t>
  </si>
  <si>
    <t>interest only mortgage.</t>
  </si>
  <si>
    <t>a 30 year fixed mortgage.</t>
  </si>
  <si>
    <t>This page highlights how property value is depreciated over the years.</t>
  </si>
  <si>
    <t>https://www.energystar.gov/sites/default/files/buildings/tools/SPP%20Sales%20Flyer%20for%20Supermarkets%20and%20Grocery%20Stores.pdf//</t>
  </si>
  <si>
    <t>https://www.buildings.com/buzz/buildings-buzz/entryid/251/why-you-should-consider-led-for-your-sports-complex#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</si>
</sst>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%"/>
  </numFmts>
  <fonts count="32" x14ac:knownFonts="1">
    <font>
      <sz val="12"/>
      <color theme="1"/>
      <name val="Arial"/>
    </font>
    <font>
      <sz val="14"/>
      <color theme="1"/>
      <name val="Cambria"/>
      <family val="1"/>
    </font>
    <font>
      <b/>
      <sz val="18"/>
      <color theme="0"/>
      <name val="Cambria"/>
      <family val="1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4"/>
      <color theme="0"/>
      <name val="Cambria"/>
      <family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sz val="18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libri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i/>
      <sz val="16"/>
      <color theme="1"/>
      <name val="Cambria"/>
      <family val="1"/>
    </font>
    <font>
      <sz val="12"/>
      <color rgb="FF000000"/>
      <name val="Cambria"/>
      <family val="1"/>
    </font>
    <font>
      <u/>
      <sz val="12"/>
      <color rgb="FF000000"/>
      <name val="Cambria"/>
      <family val="1"/>
    </font>
    <font>
      <u/>
      <sz val="12"/>
      <color rgb="FF000000"/>
      <name val="Cambria"/>
      <family val="1"/>
    </font>
    <font>
      <sz val="12"/>
      <color rgb="FF000000"/>
      <name val="Cambria"/>
      <family val="1"/>
    </font>
    <font>
      <u/>
      <sz val="12"/>
      <color rgb="FF000000"/>
      <name val="Cambria"/>
      <family val="1"/>
    </font>
    <font>
      <sz val="12"/>
      <name val="Cambria"/>
      <family val="1"/>
    </font>
    <font>
      <u/>
      <sz val="12"/>
      <color rgb="FF0000FF"/>
      <name val="Cambria"/>
      <family val="1"/>
    </font>
    <font>
      <u/>
      <sz val="12"/>
      <color rgb="FF000000"/>
      <name val="Cambria"/>
      <family val="1"/>
    </font>
    <font>
      <sz val="12"/>
      <color rgb="FF000000"/>
      <name val="Calibri"/>
      <family val="2"/>
    </font>
    <font>
      <u/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sz val="12"/>
      <color rgb="FFFFFF00"/>
      <name val="Cambria"/>
      <family val="1"/>
    </font>
    <font>
      <u/>
      <sz val="12"/>
      <color theme="10"/>
      <name val="Arial"/>
      <family val="2"/>
    </font>
    <font>
      <b/>
      <u/>
      <sz val="12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9FC5E8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20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0" borderId="0" xfId="0" applyFont="1"/>
    <xf numFmtId="0" fontId="5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3" fontId="8" fillId="0" borderId="2" xfId="0" applyNumberFormat="1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8" fillId="0" borderId="0" xfId="0" applyFont="1" applyAlignment="1"/>
    <xf numFmtId="164" fontId="8" fillId="0" borderId="2" xfId="0" applyNumberFormat="1" applyFont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4" fontId="8" fillId="0" borderId="2" xfId="0" applyNumberFormat="1" applyFont="1" applyBorder="1" applyAlignment="1">
      <alignment horizontal="center"/>
    </xf>
    <xf numFmtId="0" fontId="6" fillId="0" borderId="0" xfId="0" applyFont="1"/>
    <xf numFmtId="16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/>
    <xf numFmtId="10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7" fillId="0" borderId="2" xfId="0" applyFont="1" applyBorder="1"/>
    <xf numFmtId="164" fontId="8" fillId="0" borderId="0" xfId="0" applyNumberFormat="1" applyFont="1"/>
    <xf numFmtId="164" fontId="4" fillId="0" borderId="0" xfId="0" applyNumberFormat="1" applyFont="1"/>
    <xf numFmtId="0" fontId="1" fillId="3" borderId="0" xfId="0" applyFont="1" applyFill="1" applyAlignment="1">
      <alignment horizontal="center"/>
    </xf>
    <xf numFmtId="0" fontId="1" fillId="2" borderId="4" xfId="0" applyFont="1" applyFill="1" applyBorder="1"/>
    <xf numFmtId="0" fontId="11" fillId="3" borderId="2" xfId="0" applyFont="1" applyFill="1" applyBorder="1"/>
    <xf numFmtId="10" fontId="12" fillId="3" borderId="2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9" fontId="4" fillId="0" borderId="0" xfId="0" applyNumberFormat="1" applyFont="1"/>
    <xf numFmtId="0" fontId="25" fillId="0" borderId="0" xfId="0" applyFont="1"/>
    <xf numFmtId="0" fontId="8" fillId="4" borderId="0" xfId="0" applyFont="1" applyFill="1" applyAlignment="1">
      <alignment horizontal="center"/>
    </xf>
    <xf numFmtId="164" fontId="8" fillId="4" borderId="0" xfId="1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5" fontId="8" fillId="4" borderId="0" xfId="1" applyNumberFormat="1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164" fontId="8" fillId="4" borderId="6" xfId="0" applyNumberFormat="1" applyFont="1" applyFill="1" applyBorder="1" applyAlignment="1">
      <alignment horizontal="center"/>
    </xf>
    <xf numFmtId="166" fontId="8" fillId="4" borderId="0" xfId="0" applyNumberFormat="1" applyFont="1" applyFill="1" applyAlignment="1">
      <alignment horizontal="center"/>
    </xf>
    <xf numFmtId="166" fontId="8" fillId="4" borderId="6" xfId="0" applyNumberFormat="1" applyFont="1" applyFill="1" applyBorder="1" applyAlignment="1">
      <alignment horizontal="center"/>
    </xf>
    <xf numFmtId="0" fontId="29" fillId="4" borderId="1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1" fillId="4" borderId="1" xfId="0" applyFont="1" applyFill="1" applyBorder="1"/>
    <xf numFmtId="0" fontId="9" fillId="4" borderId="1" xfId="0" applyFont="1" applyFill="1" applyBorder="1"/>
    <xf numFmtId="0" fontId="0" fillId="4" borderId="1" xfId="0" applyFont="1" applyFill="1" applyBorder="1" applyAlignment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0" fillId="4" borderId="1" xfId="0" applyFont="1" applyFill="1" applyBorder="1"/>
    <xf numFmtId="0" fontId="7" fillId="6" borderId="18" xfId="0" applyFont="1" applyFill="1" applyBorder="1" applyAlignment="1">
      <alignment horizontal="center"/>
    </xf>
    <xf numFmtId="164" fontId="7" fillId="6" borderId="18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7" fillId="5" borderId="1" xfId="0" applyNumberFormat="1" applyFont="1" applyFill="1" applyBorder="1" applyAlignment="1">
      <alignment horizontal="center"/>
    </xf>
    <xf numFmtId="10" fontId="7" fillId="5" borderId="11" xfId="0" applyNumberFormat="1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0" fontId="7" fillId="5" borderId="13" xfId="0" applyNumberFormat="1" applyFont="1" applyFill="1" applyBorder="1" applyAlignment="1">
      <alignment horizontal="center"/>
    </xf>
    <xf numFmtId="10" fontId="7" fillId="5" borderId="14" xfId="0" applyNumberFormat="1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167" fontId="7" fillId="5" borderId="16" xfId="0" applyNumberFormat="1" applyFont="1" applyFill="1" applyBorder="1" applyAlignment="1">
      <alignment horizontal="center"/>
    </xf>
    <xf numFmtId="167" fontId="7" fillId="5" borderId="17" xfId="0" applyNumberFormat="1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9" fontId="8" fillId="4" borderId="18" xfId="0" applyNumberFormat="1" applyFont="1" applyFill="1" applyBorder="1" applyAlignment="1">
      <alignment horizontal="center"/>
    </xf>
    <xf numFmtId="6" fontId="8" fillId="4" borderId="18" xfId="0" applyNumberFormat="1" applyFont="1" applyFill="1" applyBorder="1" applyAlignment="1">
      <alignment horizontal="center"/>
    </xf>
    <xf numFmtId="10" fontId="8" fillId="4" borderId="18" xfId="0" applyNumberFormat="1" applyFont="1" applyFill="1" applyBorder="1" applyAlignment="1">
      <alignment horizontal="center"/>
    </xf>
    <xf numFmtId="8" fontId="17" fillId="0" borderId="18" xfId="0" applyNumberFormat="1" applyFont="1" applyBorder="1"/>
    <xf numFmtId="164" fontId="8" fillId="4" borderId="18" xfId="1" applyNumberFormat="1" applyFont="1" applyFill="1" applyBorder="1" applyAlignment="1">
      <alignment horizontal="center"/>
    </xf>
    <xf numFmtId="10" fontId="8" fillId="4" borderId="18" xfId="2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8" fillId="0" borderId="18" xfId="0" applyFont="1" applyBorder="1" applyAlignment="1">
      <alignment horizontal="center"/>
    </xf>
    <xf numFmtId="164" fontId="8" fillId="5" borderId="18" xfId="0" applyNumberFormat="1" applyFont="1" applyFill="1" applyBorder="1" applyAlignment="1">
      <alignment horizontal="center"/>
    </xf>
    <xf numFmtId="10" fontId="8" fillId="0" borderId="20" xfId="0" applyNumberFormat="1" applyFont="1" applyBorder="1" applyAlignment="1">
      <alignment horizontal="center"/>
    </xf>
    <xf numFmtId="10" fontId="8" fillId="0" borderId="18" xfId="0" applyNumberFormat="1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10" fontId="8" fillId="0" borderId="2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/>
    <xf numFmtId="0" fontId="7" fillId="2" borderId="22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0" fontId="8" fillId="0" borderId="22" xfId="0" applyNumberFormat="1" applyFont="1" applyBorder="1" applyAlignment="1">
      <alignment horizontal="center"/>
    </xf>
    <xf numFmtId="10" fontId="8" fillId="4" borderId="1" xfId="0" applyNumberFormat="1" applyFont="1" applyFill="1" applyBorder="1" applyAlignment="1">
      <alignment horizontal="center"/>
    </xf>
    <xf numFmtId="10" fontId="8" fillId="0" borderId="3" xfId="0" applyNumberFormat="1" applyFont="1" applyBorder="1" applyAlignment="1">
      <alignment horizontal="center"/>
    </xf>
    <xf numFmtId="10" fontId="8" fillId="0" borderId="19" xfId="0" applyNumberFormat="1" applyFont="1" applyBorder="1" applyAlignment="1">
      <alignment horizontal="center"/>
    </xf>
    <xf numFmtId="0" fontId="5" fillId="6" borderId="0" xfId="0" applyFont="1" applyFill="1" applyAlignment="1"/>
    <xf numFmtId="0" fontId="1" fillId="0" borderId="0" xfId="0" applyFont="1" applyAlignment="1"/>
    <xf numFmtId="0" fontId="4" fillId="8" borderId="1" xfId="0" applyFont="1" applyFill="1" applyBorder="1"/>
    <xf numFmtId="0" fontId="1" fillId="3" borderId="24" xfId="0" applyFont="1" applyFill="1" applyBorder="1" applyAlignment="1">
      <alignment horizontal="center"/>
    </xf>
    <xf numFmtId="0" fontId="1" fillId="4" borderId="24" xfId="0" applyFont="1" applyFill="1" applyBorder="1"/>
    <xf numFmtId="0" fontId="1" fillId="2" borderId="25" xfId="0" applyFont="1" applyFill="1" applyBorder="1"/>
    <xf numFmtId="164" fontId="8" fillId="4" borderId="24" xfId="0" applyNumberFormat="1" applyFont="1" applyFill="1" applyBorder="1" applyAlignment="1">
      <alignment horizontal="center"/>
    </xf>
    <xf numFmtId="0" fontId="0" fillId="0" borderId="27" xfId="0" applyFont="1" applyBorder="1" applyAlignment="1"/>
    <xf numFmtId="0" fontId="1" fillId="3" borderId="27" xfId="0" applyFont="1" applyFill="1" applyBorder="1"/>
    <xf numFmtId="0" fontId="1" fillId="0" borderId="27" xfId="0" applyFont="1" applyBorder="1"/>
    <xf numFmtId="0" fontId="1" fillId="2" borderId="28" xfId="0" applyFont="1" applyFill="1" applyBorder="1"/>
    <xf numFmtId="0" fontId="8" fillId="0" borderId="27" xfId="0" applyFont="1" applyBorder="1"/>
    <xf numFmtId="0" fontId="8" fillId="0" borderId="26" xfId="0" applyFont="1" applyBorder="1"/>
    <xf numFmtId="0" fontId="7" fillId="0" borderId="27" xfId="0" applyFont="1" applyBorder="1"/>
    <xf numFmtId="0" fontId="1" fillId="3" borderId="30" xfId="0" applyFont="1" applyFill="1" applyBorder="1"/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164" fontId="8" fillId="0" borderId="0" xfId="0" applyNumberFormat="1" applyFont="1" applyAlignment="1">
      <alignment horizontal="left"/>
    </xf>
    <xf numFmtId="164" fontId="8" fillId="0" borderId="24" xfId="0" applyNumberFormat="1" applyFont="1" applyBorder="1" applyAlignment="1">
      <alignment horizontal="left"/>
    </xf>
    <xf numFmtId="164" fontId="8" fillId="0" borderId="5" xfId="0" applyNumberFormat="1" applyFont="1" applyBorder="1" applyAlignment="1">
      <alignment horizontal="left"/>
    </xf>
    <xf numFmtId="164" fontId="8" fillId="0" borderId="23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7" fillId="0" borderId="24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4" borderId="24" xfId="0" applyFont="1" applyFill="1" applyBorder="1" applyAlignment="1">
      <alignment horizontal="left"/>
    </xf>
    <xf numFmtId="0" fontId="8" fillId="0" borderId="24" xfId="0" applyFont="1" applyBorder="1" applyAlignment="1">
      <alignment horizontal="left"/>
    </xf>
    <xf numFmtId="164" fontId="8" fillId="4" borderId="1" xfId="0" applyNumberFormat="1" applyFont="1" applyFill="1" applyBorder="1" applyAlignment="1">
      <alignment horizontal="left"/>
    </xf>
    <xf numFmtId="164" fontId="8" fillId="4" borderId="24" xfId="0" applyNumberFormat="1" applyFont="1" applyFill="1" applyBorder="1" applyAlignment="1">
      <alignment horizontal="left"/>
    </xf>
    <xf numFmtId="0" fontId="8" fillId="0" borderId="24" xfId="0" applyFont="1" applyBorder="1" applyAlignment="1"/>
    <xf numFmtId="164" fontId="8" fillId="4" borderId="24" xfId="1" applyNumberFormat="1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164" fontId="7" fillId="6" borderId="34" xfId="0" applyNumberFormat="1" applyFont="1" applyFill="1" applyBorder="1" applyAlignment="1">
      <alignment horizontal="center"/>
    </xf>
    <xf numFmtId="164" fontId="8" fillId="4" borderId="36" xfId="0" applyNumberFormat="1" applyFont="1" applyFill="1" applyBorder="1" applyAlignment="1">
      <alignment horizontal="center"/>
    </xf>
    <xf numFmtId="164" fontId="7" fillId="6" borderId="24" xfId="0" applyNumberFormat="1" applyFont="1" applyFill="1" applyBorder="1" applyAlignment="1">
      <alignment horizontal="center"/>
    </xf>
    <xf numFmtId="0" fontId="8" fillId="0" borderId="35" xfId="0" applyFont="1" applyBorder="1" applyAlignment="1"/>
    <xf numFmtId="0" fontId="8" fillId="4" borderId="33" xfId="0" applyFont="1" applyFill="1" applyBorder="1" applyAlignment="1">
      <alignment horizontal="center"/>
    </xf>
    <xf numFmtId="164" fontId="8" fillId="4" borderId="34" xfId="1" applyNumberFormat="1" applyFont="1" applyFill="1" applyBorder="1" applyAlignment="1">
      <alignment horizontal="center"/>
    </xf>
    <xf numFmtId="164" fontId="8" fillId="4" borderId="35" xfId="1" applyNumberFormat="1" applyFont="1" applyFill="1" applyBorder="1" applyAlignment="1">
      <alignment horizontal="center"/>
    </xf>
    <xf numFmtId="0" fontId="31" fillId="0" borderId="7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0" fontId="31" fillId="0" borderId="10" xfId="0" applyFont="1" applyBorder="1" applyAlignment="1"/>
    <xf numFmtId="0" fontId="8" fillId="0" borderId="11" xfId="0" applyFont="1" applyBorder="1" applyAlignment="1"/>
    <xf numFmtId="0" fontId="8" fillId="0" borderId="10" xfId="0" applyFont="1" applyBorder="1" applyAlignment="1"/>
    <xf numFmtId="0" fontId="8" fillId="0" borderId="39" xfId="0" applyFont="1" applyBorder="1" applyAlignment="1">
      <alignment horizontal="center"/>
    </xf>
    <xf numFmtId="9" fontId="8" fillId="5" borderId="39" xfId="0" applyNumberFormat="1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166" fontId="8" fillId="0" borderId="1" xfId="0" applyNumberFormat="1" applyFont="1" applyBorder="1" applyAlignment="1"/>
    <xf numFmtId="166" fontId="8" fillId="0" borderId="11" xfId="0" applyNumberFormat="1" applyFont="1" applyBorder="1" applyAlignment="1"/>
    <xf numFmtId="0" fontId="8" fillId="0" borderId="12" xfId="0" applyFont="1" applyBorder="1" applyAlignment="1"/>
    <xf numFmtId="166" fontId="8" fillId="0" borderId="13" xfId="0" applyNumberFormat="1" applyFont="1" applyBorder="1" applyAlignment="1"/>
    <xf numFmtId="166" fontId="8" fillId="0" borderId="14" xfId="0" applyNumberFormat="1" applyFont="1" applyBorder="1" applyAlignment="1"/>
    <xf numFmtId="0" fontId="8" fillId="0" borderId="15" xfId="0" applyFont="1" applyBorder="1" applyAlignment="1"/>
    <xf numFmtId="0" fontId="8" fillId="5" borderId="41" xfId="0" applyFont="1" applyFill="1" applyBorder="1" applyAlignment="1">
      <alignment horizontal="center"/>
    </xf>
    <xf numFmtId="0" fontId="7" fillId="0" borderId="29" xfId="0" applyFont="1" applyBorder="1"/>
    <xf numFmtId="0" fontId="14" fillId="0" borderId="29" xfId="0" applyFont="1" applyBorder="1"/>
    <xf numFmtId="0" fontId="8" fillId="0" borderId="24" xfId="0" applyFont="1" applyBorder="1"/>
    <xf numFmtId="0" fontId="6" fillId="0" borderId="29" xfId="0" applyFont="1" applyBorder="1" applyAlignment="1">
      <alignment horizontal="left"/>
    </xf>
    <xf numFmtId="0" fontId="17" fillId="0" borderId="29" xfId="0" applyFont="1" applyBorder="1"/>
    <xf numFmtId="0" fontId="18" fillId="0" borderId="24" xfId="0" applyFont="1" applyBorder="1" applyAlignment="1"/>
    <xf numFmtId="0" fontId="19" fillId="0" borderId="24" xfId="0" applyFont="1" applyBorder="1" applyAlignment="1"/>
    <xf numFmtId="0" fontId="15" fillId="0" borderId="29" xfId="0" applyFont="1" applyBorder="1" applyAlignment="1"/>
    <xf numFmtId="0" fontId="20" fillId="0" borderId="24" xfId="0" applyFont="1" applyBorder="1" applyAlignment="1"/>
    <xf numFmtId="0" fontId="15" fillId="0" borderId="24" xfId="0" applyFont="1" applyBorder="1" applyAlignment="1"/>
    <xf numFmtId="0" fontId="14" fillId="0" borderId="24" xfId="0" applyFont="1" applyBorder="1"/>
    <xf numFmtId="0" fontId="6" fillId="0" borderId="29" xfId="0" applyFont="1" applyBorder="1"/>
    <xf numFmtId="0" fontId="8" fillId="0" borderId="29" xfId="0" applyFont="1" applyBorder="1"/>
    <xf numFmtId="0" fontId="21" fillId="0" borderId="24" xfId="0" applyFont="1" applyBorder="1" applyAlignment="1"/>
    <xf numFmtId="0" fontId="8" fillId="0" borderId="29" xfId="0" applyFont="1" applyBorder="1" applyAlignment="1"/>
    <xf numFmtId="0" fontId="22" fillId="0" borderId="29" xfId="0" applyFont="1" applyBorder="1" applyAlignment="1"/>
    <xf numFmtId="0" fontId="23" fillId="0" borderId="24" xfId="0" applyFont="1" applyBorder="1" applyAlignment="1"/>
    <xf numFmtId="0" fontId="24" fillId="0" borderId="24" xfId="0" applyFont="1" applyBorder="1" applyAlignment="1"/>
    <xf numFmtId="0" fontId="7" fillId="0" borderId="29" xfId="0" applyFont="1" applyBorder="1" applyAlignment="1"/>
    <xf numFmtId="0" fontId="6" fillId="0" borderId="29" xfId="0" applyFont="1" applyBorder="1" applyAlignment="1"/>
    <xf numFmtId="0" fontId="20" fillId="0" borderId="24" xfId="0" applyFont="1" applyBorder="1"/>
    <xf numFmtId="0" fontId="17" fillId="0" borderId="29" xfId="0" applyFont="1" applyBorder="1" applyAlignment="1"/>
    <xf numFmtId="0" fontId="30" fillId="0" borderId="24" xfId="3" applyBorder="1" applyAlignment="1"/>
    <xf numFmtId="0" fontId="30" fillId="0" borderId="24" xfId="3" applyBorder="1"/>
    <xf numFmtId="0" fontId="0" fillId="0" borderId="29" xfId="0" applyFont="1" applyBorder="1" applyAlignment="1"/>
    <xf numFmtId="0" fontId="0" fillId="0" borderId="24" xfId="0" applyFont="1" applyBorder="1" applyAlignment="1"/>
    <xf numFmtId="0" fontId="7" fillId="0" borderId="37" xfId="0" applyFont="1" applyBorder="1"/>
    <xf numFmtId="0" fontId="20" fillId="0" borderId="35" xfId="0" applyFont="1" applyBorder="1" applyAlignment="1"/>
    <xf numFmtId="0" fontId="7" fillId="0" borderId="1" xfId="0" applyFont="1" applyBorder="1"/>
    <xf numFmtId="0" fontId="15" fillId="0" borderId="1" xfId="0" applyFont="1" applyBorder="1"/>
    <xf numFmtId="0" fontId="16" fillId="0" borderId="18" xfId="0" applyFont="1" applyBorder="1" applyAlignment="1">
      <alignment horizontal="center"/>
    </xf>
    <xf numFmtId="0" fontId="12" fillId="0" borderId="15" xfId="0" applyFont="1" applyBorder="1"/>
    <xf numFmtId="0" fontId="14" fillId="0" borderId="17" xfId="0" applyFont="1" applyBorder="1"/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CCCC"/>
      <color rgb="FF00C5C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en-US"/>
              <a:t>Project Completion Sensitivity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06340756506308"/>
          <c:y val="0.12517297647303408"/>
          <c:w val="0.82250521790807896"/>
          <c:h val="0.65769282410214658"/>
        </c:manualLayout>
      </c:layout>
      <c:lineChart>
        <c:grouping val="standard"/>
        <c:varyColors val="0"/>
        <c:ser>
          <c:idx val="1"/>
          <c:order val="0"/>
          <c:tx>
            <c:strRef>
              <c:f>'Sensitivity Analysis'!$B$3</c:f>
              <c:strCache>
                <c:ptCount val="1"/>
                <c:pt idx="0">
                  <c:v>Before Tax- Unlevered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7805555555555553E-2"/>
                  <c:y val="-3.8298702245552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0B2-49BA-AEB1-704185E546E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0B2-49BA-AEB1-704185E546E5}"/>
                </c:ext>
              </c:extLst>
            </c:dLbl>
            <c:dLbl>
              <c:idx val="3"/>
              <c:layout>
                <c:manualLayout>
                  <c:x val="-4.7805555555555553E-2"/>
                  <c:y val="-2.90394429862933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0B2-49BA-AEB1-704185E546E5}"/>
                </c:ext>
              </c:extLst>
            </c:dLbl>
            <c:dLbl>
              <c:idx val="4"/>
              <c:layout>
                <c:manualLayout>
                  <c:x val="-4.7805555555555553E-2"/>
                  <c:y val="-3.36690726159230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0B2-49BA-AEB1-704185E54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Analysis'!$C$3:$G$3</c:f>
              <c:numCache>
                <c:formatCode>0.00%</c:formatCode>
                <c:ptCount val="5"/>
                <c:pt idx="0">
                  <c:v>3.5799999999999998E-2</c:v>
                </c:pt>
                <c:pt idx="1">
                  <c:v>3.1099999999999999E-2</c:v>
                </c:pt>
                <c:pt idx="2">
                  <c:v>2.5999999999999999E-2</c:v>
                </c:pt>
                <c:pt idx="3">
                  <c:v>2.0500000000000001E-2</c:v>
                </c:pt>
                <c:pt idx="4">
                  <c:v>1.4500000000000001E-2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9-41C6-9D50-F2A641018AF4}"/>
            </c:ext>
          </c:extLst>
        </c:ser>
        <c:ser>
          <c:idx val="2"/>
          <c:order val="1"/>
          <c:tx>
            <c:strRef>
              <c:f>'Sensitivity Analysis'!$B$4</c:f>
              <c:strCache>
                <c:ptCount val="1"/>
                <c:pt idx="0">
                  <c:v>Before Tax- Levered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736220472440948E-2"/>
                  <c:y val="-3.8298702245552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0B2-49BA-AEB1-704185E54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Analysis'!$C$4:$G$4</c:f>
              <c:numCache>
                <c:formatCode>0.00%</c:formatCode>
                <c:ptCount val="5"/>
                <c:pt idx="0">
                  <c:v>0.129</c:v>
                </c:pt>
                <c:pt idx="1">
                  <c:v>7.3599999999999999E-2</c:v>
                </c:pt>
                <c:pt idx="2">
                  <c:v>5.2299999999999999E-2</c:v>
                </c:pt>
                <c:pt idx="3">
                  <c:v>3.8399999999999997E-2</c:v>
                </c:pt>
                <c:pt idx="4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A9-41C6-9D50-F2A641018AF4}"/>
            </c:ext>
          </c:extLst>
        </c:ser>
        <c:ser>
          <c:idx val="3"/>
          <c:order val="2"/>
          <c:tx>
            <c:strRef>
              <c:f>'Sensitivity Analysis'!$B$5</c:f>
              <c:strCache>
                <c:ptCount val="1"/>
                <c:pt idx="0">
                  <c:v>After Tax- Unlevered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805581836180895E-2"/>
                  <c:y val="4.42246816274430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B2-49BA-AEB1-704185E546E5}"/>
                </c:ext>
              </c:extLst>
            </c:dLbl>
            <c:dLbl>
              <c:idx val="1"/>
              <c:layout>
                <c:manualLayout>
                  <c:x val="-4.7805581836180965E-2"/>
                  <c:y val="3.4456115872111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B2-49BA-AEB1-704185E546E5}"/>
                </c:ext>
              </c:extLst>
            </c:dLbl>
            <c:dLbl>
              <c:idx val="2"/>
              <c:layout>
                <c:manualLayout>
                  <c:x val="-4.7805581836180916E-2"/>
                  <c:y val="2.46875501167804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B2-49BA-AEB1-704185E546E5}"/>
                </c:ext>
              </c:extLst>
            </c:dLbl>
            <c:dLbl>
              <c:idx val="3"/>
              <c:layout>
                <c:manualLayout>
                  <c:x val="-7.9999798260501256E-2"/>
                  <c:y val="1.54999371979001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0B2-49BA-AEB1-704185E546E5}"/>
                </c:ext>
              </c:extLst>
            </c:dLbl>
            <c:dLbl>
              <c:idx val="4"/>
              <c:layout>
                <c:manualLayout>
                  <c:x val="8.5561083778210954E-3"/>
                  <c:y val="-1.22174446908404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B2-49BA-AEB1-704185E54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Analysis'!$C$5:$G$5</c:f>
              <c:numCache>
                <c:formatCode>0.00%</c:formatCode>
                <c:ptCount val="5"/>
                <c:pt idx="0">
                  <c:v>2.23E-2</c:v>
                </c:pt>
                <c:pt idx="1">
                  <c:v>1.78E-2</c:v>
                </c:pt>
                <c:pt idx="2">
                  <c:v>1.29E-2</c:v>
                </c:pt>
                <c:pt idx="3">
                  <c:v>7.6E-3</c:v>
                </c:pt>
                <c:pt idx="4">
                  <c:v>1.8E-3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A9-41C6-9D50-F2A641018AF4}"/>
            </c:ext>
          </c:extLst>
        </c:ser>
        <c:ser>
          <c:idx val="4"/>
          <c:order val="3"/>
          <c:tx>
            <c:strRef>
              <c:f>'Sensitivity Analysis'!$B$6</c:f>
              <c:strCache>
                <c:ptCount val="1"/>
                <c:pt idx="0">
                  <c:v>After Tax- Levered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736220472440948E-2"/>
                  <c:y val="-3.8298702245552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0B2-49BA-AEB1-704185E546E5}"/>
                </c:ext>
              </c:extLst>
            </c:dLbl>
            <c:dLbl>
              <c:idx val="1"/>
              <c:layout>
                <c:manualLayout>
                  <c:x val="-3.6694444444444446E-2"/>
                  <c:y val="-3.8298702245552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B2-49BA-AEB1-704185E546E5}"/>
                </c:ext>
              </c:extLst>
            </c:dLbl>
            <c:dLbl>
              <c:idx val="2"/>
              <c:layout>
                <c:manualLayout>
                  <c:x val="-4.7805555555555657E-2"/>
                  <c:y val="-3.8298702245552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0B2-49BA-AEB1-704185E546E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0B2-49BA-AEB1-704185E546E5}"/>
                </c:ext>
              </c:extLst>
            </c:dLbl>
            <c:dLbl>
              <c:idx val="4"/>
              <c:layout>
                <c:manualLayout>
                  <c:x val="9.8415252178576437E-3"/>
                  <c:y val="-4.8337585107673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0B2-49BA-AEB1-704185E54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Analysis'!$C$6:$G$6</c:f>
              <c:numCache>
                <c:formatCode>0.00%</c:formatCode>
                <c:ptCount val="5"/>
                <c:pt idx="0">
                  <c:v>0.10970000000000001</c:v>
                </c:pt>
                <c:pt idx="1">
                  <c:v>5.2999999999999999E-2</c:v>
                </c:pt>
                <c:pt idx="2">
                  <c:v>3.1E-2</c:v>
                </c:pt>
                <c:pt idx="3">
                  <c:v>1.6199999999999999E-2</c:v>
                </c:pt>
                <c:pt idx="4">
                  <c:v>3.8E-3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9-41C6-9D50-F2A641018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171400"/>
        <c:axId val="1003165824"/>
      </c:lineChart>
      <c:catAx>
        <c:axId val="10031714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Years To Project Completion</a:t>
                </a:r>
              </a:p>
            </c:rich>
          </c:tx>
          <c:layout>
            <c:manualLayout>
              <c:xMode val="edge"/>
              <c:yMode val="edge"/>
              <c:x val="0.39564461233653847"/>
              <c:y val="0.83397642322551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003165824"/>
        <c:crosses val="autoZero"/>
        <c:auto val="0"/>
        <c:lblAlgn val="ctr"/>
        <c:lblOffset val="100"/>
        <c:noMultiLvlLbl val="0"/>
      </c:catAx>
      <c:valAx>
        <c:axId val="10031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IRR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100317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711286089238844E-3"/>
          <c:y val="0.85069335083114606"/>
          <c:w val="0.98527996500437443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en-US">
                <a:latin typeface="Cambria" panose="02040503050406030204" pitchFamily="18" charset="0"/>
              </a:rPr>
              <a:t>Rental Growth Rate Sensitivity</a:t>
            </a:r>
          </a:p>
        </c:rich>
      </c:tx>
      <c:layout>
        <c:manualLayout>
          <c:xMode val="edge"/>
          <c:yMode val="edge"/>
          <c:x val="0.31042316141785647"/>
          <c:y val="2.0804687521271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Analysis'!$A$29</c:f>
              <c:strCache>
                <c:ptCount val="1"/>
                <c:pt idx="0">
                  <c:v>Before Tax- Unlevered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701443569553906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B3-45CA-94E9-BEB1719D47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Analysis'!$B$28:$C$28</c:f>
              <c:strCache>
                <c:ptCount val="2"/>
                <c:pt idx="0">
                  <c:v>Current Rental Growth</c:v>
                </c:pt>
                <c:pt idx="1">
                  <c:v>Rental Growth down 1%</c:v>
                </c:pt>
              </c:strCache>
            </c:strRef>
          </c:cat>
          <c:val>
            <c:numRef>
              <c:f>'Sensitivity Analysis'!$B$29:$C$29</c:f>
              <c:numCache>
                <c:formatCode>0.00%</c:formatCode>
                <c:ptCount val="2"/>
                <c:pt idx="0">
                  <c:v>3.1099999999999999E-2</c:v>
                </c:pt>
                <c:pt idx="1">
                  <c:v>1.03E-2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C-43FD-8AA0-AA35947F27A5}"/>
            </c:ext>
          </c:extLst>
        </c:ser>
        <c:ser>
          <c:idx val="1"/>
          <c:order val="1"/>
          <c:tx>
            <c:strRef>
              <c:f>'Sensitivity Analysis'!$A$30</c:f>
              <c:strCache>
                <c:ptCount val="1"/>
                <c:pt idx="0">
                  <c:v>Before Tax- Levered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Analysis'!$B$28:$C$28</c:f>
              <c:strCache>
                <c:ptCount val="2"/>
                <c:pt idx="0">
                  <c:v>Current Rental Growth</c:v>
                </c:pt>
                <c:pt idx="1">
                  <c:v>Rental Growth down 1%</c:v>
                </c:pt>
              </c:strCache>
            </c:strRef>
          </c:cat>
          <c:val>
            <c:numRef>
              <c:f>'Sensitivity Analysis'!$B$30:$C$30</c:f>
              <c:numCache>
                <c:formatCode>0.00%</c:formatCode>
                <c:ptCount val="2"/>
                <c:pt idx="0">
                  <c:v>7.3599999999999999E-2</c:v>
                </c:pt>
                <c:pt idx="1">
                  <c:v>4.4499999999999998E-2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C-43FD-8AA0-AA35947F27A5}"/>
            </c:ext>
          </c:extLst>
        </c:ser>
        <c:ser>
          <c:idx val="2"/>
          <c:order val="2"/>
          <c:tx>
            <c:strRef>
              <c:f>'Sensitivity Analysis'!$A$31</c:f>
              <c:strCache>
                <c:ptCount val="1"/>
                <c:pt idx="0">
                  <c:v>After Tax- Unlevered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4701443569553802E-2"/>
                  <c:y val="-4.3946850393700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B3-45CA-94E9-BEB1719D4744}"/>
                </c:ext>
              </c:extLst>
            </c:dLbl>
            <c:dLbl>
              <c:idx val="1"/>
              <c:layout>
                <c:manualLayout>
                  <c:x val="-5.852777777777788E-2"/>
                  <c:y val="-3.4687591134441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B3-45CA-94E9-BEB1719D47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Analysis'!$B$28:$C$28</c:f>
              <c:strCache>
                <c:ptCount val="2"/>
                <c:pt idx="0">
                  <c:v>Current Rental Growth</c:v>
                </c:pt>
                <c:pt idx="1">
                  <c:v>Rental Growth down 1%</c:v>
                </c:pt>
              </c:strCache>
            </c:strRef>
          </c:cat>
          <c:val>
            <c:numRef>
              <c:f>'Sensitivity Analysis'!$B$31:$C$31</c:f>
              <c:numCache>
                <c:formatCode>0.00%</c:formatCode>
                <c:ptCount val="2"/>
                <c:pt idx="0">
                  <c:v>1.78E-2</c:v>
                </c:pt>
                <c:pt idx="1">
                  <c:v>-2E-3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CC-43FD-8AA0-AA35947F27A5}"/>
            </c:ext>
          </c:extLst>
        </c:ser>
        <c:ser>
          <c:idx val="3"/>
          <c:order val="3"/>
          <c:tx>
            <c:strRef>
              <c:f>'Sensitivity Analysis'!$A$32</c:f>
              <c:strCache>
                <c:ptCount val="1"/>
                <c:pt idx="0">
                  <c:v>After Tax- Levered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Analysis'!$B$28:$C$28</c:f>
              <c:strCache>
                <c:ptCount val="2"/>
                <c:pt idx="0">
                  <c:v>Current Rental Growth</c:v>
                </c:pt>
                <c:pt idx="1">
                  <c:v>Rental Growth down 1%</c:v>
                </c:pt>
              </c:strCache>
            </c:strRef>
          </c:cat>
          <c:val>
            <c:numRef>
              <c:f>'Sensitivity Analysis'!$B$32:$C$32</c:f>
              <c:numCache>
                <c:formatCode>0.00%</c:formatCode>
                <c:ptCount val="2"/>
                <c:pt idx="0">
                  <c:v>5.2999999999999999E-2</c:v>
                </c:pt>
                <c:pt idx="1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CC-43FD-8AA0-AA35947F2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291352"/>
        <c:axId val="800288400"/>
      </c:lineChart>
      <c:catAx>
        <c:axId val="80029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Structure</a:t>
                </a:r>
              </a:p>
            </c:rich>
          </c:tx>
          <c:layout>
            <c:manualLayout>
              <c:xMode val="edge"/>
              <c:yMode val="edge"/>
              <c:x val="0.49327336130969074"/>
              <c:y val="0.84454234316162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288400"/>
        <c:crosses val="autoZero"/>
        <c:auto val="1"/>
        <c:lblAlgn val="ctr"/>
        <c:lblOffset val="100"/>
        <c:noMultiLvlLbl val="0"/>
      </c:catAx>
      <c:valAx>
        <c:axId val="8002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IRR</a:t>
                </a:r>
              </a:p>
              <a:p>
                <a:pPr>
                  <a:defRPr/>
                </a:pPr>
                <a:r>
                  <a:rPr lang="en-US"/>
                  <a:t>(%)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6401538349372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29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52665962560709E-2"/>
          <c:y val="0.88515817933798568"/>
          <c:w val="0.97972440944881889"/>
          <c:h val="0.11472746431128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en-US"/>
              <a:t>Cap Rate Sensitivity </a:t>
            </a:r>
          </a:p>
        </c:rich>
      </c:tx>
      <c:layout>
        <c:manualLayout>
          <c:xMode val="edge"/>
          <c:yMode val="edge"/>
          <c:x val="0.40476523092648248"/>
          <c:y val="2.43355225266458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98403324584427"/>
          <c:y val="0.15319444444444447"/>
          <c:w val="0.79946041119860023"/>
          <c:h val="0.52988298337707784"/>
        </c:manualLayout>
      </c:layout>
      <c:lineChart>
        <c:grouping val="standard"/>
        <c:varyColors val="0"/>
        <c:ser>
          <c:idx val="1"/>
          <c:order val="0"/>
          <c:tx>
            <c:strRef>
              <c:f>'Sensitivity Analysis'!$A$54</c:f>
              <c:strCache>
                <c:ptCount val="1"/>
                <c:pt idx="0">
                  <c:v>Before Tax- Unlevered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6240339959567445E-2"/>
                  <c:y val="-2.52829380886788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3DA-544F-900B-5842CF131D1F}"/>
                </c:ext>
              </c:extLst>
            </c:dLbl>
            <c:dLbl>
              <c:idx val="2"/>
              <c:layout>
                <c:manualLayout>
                  <c:x val="-4.6240339959567445E-2"/>
                  <c:y val="2.68646101827052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3DA-544F-900B-5842CF131D1F}"/>
                </c:ext>
              </c:extLst>
            </c:dLbl>
            <c:dLbl>
              <c:idx val="3"/>
              <c:layout>
                <c:manualLayout>
                  <c:x val="-4.6240339959567521E-2"/>
                  <c:y val="-3.22359445248633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3DA-544F-900B-5842CF131D1F}"/>
                </c:ext>
              </c:extLst>
            </c:dLbl>
            <c:dLbl>
              <c:idx val="4"/>
              <c:layout>
                <c:manualLayout>
                  <c:x val="-4.0698717522180412E-2"/>
                  <c:y val="1.2958597310336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3DA-544F-900B-5842CF131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Analysis'!$B$54:$F$54</c:f>
              <c:numCache>
                <c:formatCode>0.00%</c:formatCode>
                <c:ptCount val="5"/>
                <c:pt idx="0">
                  <c:v>3.1099999999999999E-2</c:v>
                </c:pt>
                <c:pt idx="1">
                  <c:v>1.95E-2</c:v>
                </c:pt>
                <c:pt idx="2">
                  <c:v>0.01</c:v>
                </c:pt>
                <c:pt idx="3">
                  <c:v>2.0999999999999999E-3</c:v>
                </c:pt>
                <c:pt idx="4">
                  <c:v>-4.7999999999999996E-3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8-4FAA-84F0-51C7F03411CB}"/>
            </c:ext>
          </c:extLst>
        </c:ser>
        <c:ser>
          <c:idx val="2"/>
          <c:order val="1"/>
          <c:tx>
            <c:strRef>
              <c:f>'Sensitivity Analysis'!$A$55</c:f>
              <c:strCache>
                <c:ptCount val="1"/>
                <c:pt idx="0">
                  <c:v>Before Tax- Levered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Analysis'!$B$55:$F$55</c:f>
              <c:numCache>
                <c:formatCode>0.00%</c:formatCode>
                <c:ptCount val="5"/>
                <c:pt idx="0">
                  <c:v>7.3599999999999999E-2</c:v>
                </c:pt>
                <c:pt idx="1">
                  <c:v>5.57E-2</c:v>
                </c:pt>
                <c:pt idx="2">
                  <c:v>4.0300000000000002E-2</c:v>
                </c:pt>
                <c:pt idx="3">
                  <c:v>2.6700000000000002E-2</c:v>
                </c:pt>
                <c:pt idx="4">
                  <c:v>1.4500000000000001E-2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8-4FAA-84F0-51C7F03411CB}"/>
            </c:ext>
          </c:extLst>
        </c:ser>
        <c:ser>
          <c:idx val="3"/>
          <c:order val="2"/>
          <c:tx>
            <c:strRef>
              <c:f>'Sensitivity Analysis'!$A$56</c:f>
              <c:strCache>
                <c:ptCount val="1"/>
                <c:pt idx="0">
                  <c:v>After Tax- Unlevered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4028150201762158E-2"/>
                  <c:y val="4.77236294912589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DA-544F-900B-5842CF131D1F}"/>
                </c:ext>
              </c:extLst>
            </c:dLbl>
            <c:dLbl>
              <c:idx val="1"/>
              <c:layout>
                <c:manualLayout>
                  <c:x val="-5.0664719475178012E-2"/>
                  <c:y val="4.42471262731667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DA-544F-900B-5842CF131D1F}"/>
                </c:ext>
              </c:extLst>
            </c:dLbl>
            <c:dLbl>
              <c:idx val="2"/>
              <c:layout>
                <c:manualLayout>
                  <c:x val="-4.9547476553401471E-2"/>
                  <c:y val="4.07706230550743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DA-544F-900B-5842CF131D1F}"/>
                </c:ext>
              </c:extLst>
            </c:dLbl>
            <c:dLbl>
              <c:idx val="3"/>
              <c:layout>
                <c:manualLayout>
                  <c:x val="-4.9547476553401387E-2"/>
                  <c:y val="4.07706230550742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DA-544F-900B-5842CF131D1F}"/>
                </c:ext>
              </c:extLst>
            </c:dLbl>
            <c:dLbl>
              <c:idx val="4"/>
              <c:layout>
                <c:manualLayout>
                  <c:x val="-5.6184045826817408E-2"/>
                  <c:y val="4.42471262731665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3DA-544F-900B-5842CF131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Analysis'!$B$56:$F$56</c:f>
              <c:numCache>
                <c:formatCode>0.00%</c:formatCode>
                <c:ptCount val="5"/>
                <c:pt idx="0">
                  <c:v>1.78E-2</c:v>
                </c:pt>
                <c:pt idx="1">
                  <c:v>6.7000000000000002E-3</c:v>
                </c:pt>
                <c:pt idx="2">
                  <c:v>-2.3999999999999998E-3</c:v>
                </c:pt>
                <c:pt idx="3">
                  <c:v>-1.01E-2</c:v>
                </c:pt>
                <c:pt idx="4">
                  <c:v>-1.67E-2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98-4FAA-84F0-51C7F03411CB}"/>
            </c:ext>
          </c:extLst>
        </c:ser>
        <c:ser>
          <c:idx val="4"/>
          <c:order val="3"/>
          <c:tx>
            <c:strRef>
              <c:f>'Sensitivity Analysis'!$A$57</c:f>
              <c:strCache>
                <c:ptCount val="1"/>
                <c:pt idx="0">
                  <c:v>After Tax- Levered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6240339959567445E-2"/>
                  <c:y val="-7.39539831419705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3DA-544F-900B-5842CF131D1F}"/>
                </c:ext>
              </c:extLst>
            </c:dLbl>
            <c:dLbl>
              <c:idx val="3"/>
              <c:layout>
                <c:manualLayout>
                  <c:x val="-4.9547476553401387E-2"/>
                  <c:y val="-9.4813002450524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3DA-544F-900B-5842CF131D1F}"/>
                </c:ext>
              </c:extLst>
            </c:dLbl>
            <c:dLbl>
              <c:idx val="4"/>
              <c:layout>
                <c:manualLayout>
                  <c:x val="-5.3971856069011961E-2"/>
                  <c:y val="-0.101766008886708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DA-544F-900B-5842CF131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Analysis'!$B$57:$F$57</c:f>
              <c:numCache>
                <c:formatCode>0.00%</c:formatCode>
                <c:ptCount val="5"/>
                <c:pt idx="0">
                  <c:v>5.2999999999999999E-2</c:v>
                </c:pt>
                <c:pt idx="1">
                  <c:v>3.3099999999999997E-2</c:v>
                </c:pt>
                <c:pt idx="2">
                  <c:v>1.5599999999999999E-2</c:v>
                </c:pt>
                <c:pt idx="3">
                  <c:v>-4.0000000000000002E-4</c:v>
                </c:pt>
                <c:pt idx="4">
                  <c:v>-1.52E-2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98-4FAA-84F0-51C7F0341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116424"/>
        <c:axId val="762110192"/>
      </c:lineChart>
      <c:catAx>
        <c:axId val="7621164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Cap Rate (%)</a:t>
                </a:r>
              </a:p>
            </c:rich>
          </c:tx>
          <c:layout>
            <c:manualLayout>
              <c:xMode val="edge"/>
              <c:yMode val="edge"/>
              <c:x val="0.46113079615048119"/>
              <c:y val="0.747892242636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762110192"/>
        <c:crosses val="autoZero"/>
        <c:auto val="1"/>
        <c:lblAlgn val="ctr"/>
        <c:lblOffset val="100"/>
        <c:noMultiLvlLbl val="0"/>
      </c:catAx>
      <c:valAx>
        <c:axId val="7621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IRR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76211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 Sensitivity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33114610673666"/>
          <c:y val="0.17171296296296296"/>
          <c:w val="0.80711329833770784"/>
          <c:h val="0.45580890930300377"/>
        </c:manualLayout>
      </c:layout>
      <c:lineChart>
        <c:grouping val="standard"/>
        <c:varyColors val="0"/>
        <c:ser>
          <c:idx val="1"/>
          <c:order val="0"/>
          <c:tx>
            <c:strRef>
              <c:f>'Sensitivity Analysis'!$B$81</c:f>
              <c:strCache>
                <c:ptCount val="1"/>
                <c:pt idx="0">
                  <c:v>Before Tax- Unlevered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Analysis'!$C$81:$F$81</c:f>
              <c:numCache>
                <c:formatCode>0.00%</c:formatCode>
                <c:ptCount val="4"/>
                <c:pt idx="0">
                  <c:v>3.1099999999999999E-2</c:v>
                </c:pt>
                <c:pt idx="1">
                  <c:v>3.1099999999999999E-2</c:v>
                </c:pt>
                <c:pt idx="2">
                  <c:v>3.1099999999999999E-2</c:v>
                </c:pt>
                <c:pt idx="3">
                  <c:v>3.1099999999999999E-2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2-423C-B670-BFA6207671BB}"/>
            </c:ext>
          </c:extLst>
        </c:ser>
        <c:ser>
          <c:idx val="2"/>
          <c:order val="1"/>
          <c:tx>
            <c:strRef>
              <c:f>'Sensitivity Analysis'!$B$82</c:f>
              <c:strCache>
                <c:ptCount val="1"/>
                <c:pt idx="0">
                  <c:v>Before Tax- Levered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Analysis'!$C$82:$F$82</c:f>
              <c:numCache>
                <c:formatCode>0.00%</c:formatCode>
                <c:ptCount val="4"/>
                <c:pt idx="0">
                  <c:v>7.3599999999999999E-2</c:v>
                </c:pt>
                <c:pt idx="1">
                  <c:v>7.0000000000000007E-2</c:v>
                </c:pt>
                <c:pt idx="2">
                  <c:v>6.6400000000000001E-2</c:v>
                </c:pt>
                <c:pt idx="3">
                  <c:v>6.2899999999999998E-2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2-423C-B670-BFA6207671BB}"/>
            </c:ext>
          </c:extLst>
        </c:ser>
        <c:ser>
          <c:idx val="3"/>
          <c:order val="2"/>
          <c:tx>
            <c:strRef>
              <c:f>'Sensitivity Analysis'!$B$83</c:f>
              <c:strCache>
                <c:ptCount val="1"/>
                <c:pt idx="0">
                  <c:v>After Tax- Unlevered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Analysis'!$C$83:$F$83</c:f>
              <c:numCache>
                <c:formatCode>0.00%</c:formatCode>
                <c:ptCount val="4"/>
                <c:pt idx="0">
                  <c:v>1.78E-2</c:v>
                </c:pt>
                <c:pt idx="1">
                  <c:v>1.78E-2</c:v>
                </c:pt>
                <c:pt idx="2">
                  <c:v>1.78E-2</c:v>
                </c:pt>
                <c:pt idx="3">
                  <c:v>1.78E-2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82-423C-B670-BFA6207671BB}"/>
            </c:ext>
          </c:extLst>
        </c:ser>
        <c:ser>
          <c:idx val="4"/>
          <c:order val="3"/>
          <c:tx>
            <c:strRef>
              <c:f>'Sensitivity Analysis'!$B$84</c:f>
              <c:strCache>
                <c:ptCount val="1"/>
                <c:pt idx="0">
                  <c:v>After Tax- Levered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'Sensitivity Analysis'!$C$84:$F$84</c:f>
              <c:numCache>
                <c:formatCode>0.00%</c:formatCode>
                <c:ptCount val="4"/>
                <c:pt idx="0">
                  <c:v>5.2999999999999999E-2</c:v>
                </c:pt>
                <c:pt idx="1">
                  <c:v>4.9299999999999997E-2</c:v>
                </c:pt>
                <c:pt idx="2">
                  <c:v>4.5600000000000002E-2</c:v>
                </c:pt>
                <c:pt idx="3">
                  <c:v>4.19E-2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82-423C-B670-BFA620767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709920"/>
        <c:axId val="761711888"/>
      </c:lineChart>
      <c:catAx>
        <c:axId val="7617099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</a:t>
                </a:r>
                <a:r>
                  <a:rPr lang="en-US" baseline="0"/>
                  <a:t> Rate (%)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408902012248467"/>
              <c:y val="0.73863298337707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crossAx val="761711888"/>
        <c:crosses val="autoZero"/>
        <c:auto val="1"/>
        <c:lblAlgn val="ctr"/>
        <c:lblOffset val="100"/>
        <c:tickLblSkip val="7"/>
        <c:noMultiLvlLbl val="0"/>
      </c:catAx>
      <c:valAx>
        <c:axId val="7617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IRR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0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12959</xdr:colOff>
      <xdr:row>25</xdr:row>
      <xdr:rowOff>38877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F901F3-628D-4853-B558-C80DF5D46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25917</xdr:rowOff>
    </xdr:from>
    <xdr:to>
      <xdr:col>4</xdr:col>
      <xdr:colOff>25918</xdr:colOff>
      <xdr:row>50</xdr:row>
      <xdr:rowOff>64795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B961B-5E58-4956-96D5-723B5D00F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40273</xdr:rowOff>
    </xdr:from>
    <xdr:to>
      <xdr:col>3</xdr:col>
      <xdr:colOff>1645816</xdr:colOff>
      <xdr:row>76</xdr:row>
      <xdr:rowOff>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909D0E-5B79-4D58-A65D-52C946067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1034143</xdr:colOff>
      <xdr:row>70</xdr:row>
      <xdr:rowOff>38876</xdr:rowOff>
    </xdr:from>
    <xdr:to>
      <xdr:col>3</xdr:col>
      <xdr:colOff>1321837</xdr:colOff>
      <xdr:row>71</xdr:row>
      <xdr:rowOff>38876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88AA5AF-3A9B-402D-B3A2-D0BCB29ACFC5}"/>
            </a:ext>
          </a:extLst>
        </xdr:cNvPr>
        <xdr:cNvSpPr txBox="1"/>
      </xdr:nvSpPr>
      <xdr:spPr>
        <a:xfrm>
          <a:off x="1034143" y="13646019"/>
          <a:ext cx="4382796" cy="1943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tx2">
                  <a:lumMod val="50000"/>
                  <a:lumOff val="50000"/>
                </a:schemeClr>
              </a:solidFill>
            </a:rPr>
            <a:t>          5</a:t>
          </a:r>
          <a:r>
            <a:rPr lang="en-US" sz="900" baseline="0">
              <a:solidFill>
                <a:schemeClr val="tx2">
                  <a:lumMod val="50000"/>
                  <a:lumOff val="50000"/>
                </a:schemeClr>
              </a:solidFill>
            </a:rPr>
            <a:t>                               6                                 7                                 8                                  9</a:t>
          </a:r>
          <a:endParaRPr lang="en-US" sz="90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879021</xdr:colOff>
      <xdr:row>21</xdr:row>
      <xdr:rowOff>23067</xdr:rowOff>
    </xdr:from>
    <xdr:to>
      <xdr:col>3</xdr:col>
      <xdr:colOff>1632857</xdr:colOff>
      <xdr:row>21</xdr:row>
      <xdr:rowOff>181428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16E02C-F8A7-46B3-9FE5-83F97CE77A4E}"/>
            </a:ext>
          </a:extLst>
        </xdr:cNvPr>
        <xdr:cNvSpPr txBox="1"/>
      </xdr:nvSpPr>
      <xdr:spPr>
        <a:xfrm>
          <a:off x="879021" y="4105210"/>
          <a:ext cx="4848938" cy="1583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tx2">
                  <a:lumMod val="50000"/>
                  <a:lumOff val="50000"/>
                </a:schemeClr>
              </a:solidFill>
            </a:rPr>
            <a:t>           2                                  3</a:t>
          </a:r>
          <a:r>
            <a:rPr lang="en-US" sz="900" baseline="0">
              <a:solidFill>
                <a:schemeClr val="tx2">
                  <a:lumMod val="50000"/>
                  <a:lumOff val="50000"/>
                </a:schemeClr>
              </a:solidFill>
            </a:rPr>
            <a:t>                                    4                                    5                                     6 </a:t>
          </a:r>
          <a:r>
            <a:rPr lang="en-US" sz="900">
              <a:solidFill>
                <a:schemeClr val="tx2">
                  <a:lumMod val="50000"/>
                  <a:lumOff val="50000"/>
                </a:schemeClr>
              </a:solidFill>
            </a:rPr>
            <a:t>		</a:t>
          </a:r>
        </a:p>
      </xdr:txBody>
    </xdr:sp>
    <xdr:clientData/>
  </xdr:twoCellAnchor>
  <xdr:twoCellAnchor>
    <xdr:from>
      <xdr:col>0</xdr:col>
      <xdr:colOff>0</xdr:colOff>
      <xdr:row>84</xdr:row>
      <xdr:rowOff>41825</xdr:rowOff>
    </xdr:from>
    <xdr:to>
      <xdr:col>3</xdr:col>
      <xdr:colOff>1606938</xdr:colOff>
      <xdr:row>103</xdr:row>
      <xdr:rowOff>142551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39858F-2E81-49A1-95FE-7277E8DCE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0.23194</cdr:x>
      <cdr:y>0.66493</cdr:y>
    </cdr:from>
    <cdr:to>
      <cdr:x>0.97708</cdr:x>
      <cdr:y>0.739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45AB44-3A8D-456F-8624-F675A16DC161}"/>
            </a:ext>
          </a:extLst>
        </cdr:cNvPr>
        <cdr:cNvSpPr txBox="1"/>
      </cdr:nvSpPr>
      <cdr:spPr>
        <a:xfrm xmlns:a="http://schemas.openxmlformats.org/drawingml/2006/main">
          <a:off x="1060450" y="1824038"/>
          <a:ext cx="3406775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0.1942</cdr:x>
      <cdr:y>0.64636</cdr:y>
    </cdr:from>
    <cdr:to>
      <cdr:x>0.92961</cdr:x>
      <cdr:y>0.72159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CED5547-4586-400F-A180-5E5315AD2552}"/>
            </a:ext>
          </a:extLst>
        </cdr:cNvPr>
        <cdr:cNvSpPr txBox="1"/>
      </cdr:nvSpPr>
      <cdr:spPr>
        <a:xfrm xmlns:a="http://schemas.openxmlformats.org/drawingml/2006/main">
          <a:off x="1107315" y="2452334"/>
          <a:ext cx="4193338" cy="285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tx2">
                  <a:lumMod val="50000"/>
                  <a:lumOff val="50000"/>
                </a:schemeClr>
              </a:solidFill>
            </a:rPr>
            <a:t>         4.5                                        5</a:t>
          </a:r>
          <a:r>
            <a:rPr lang="en-US" sz="900" baseline="0">
              <a:solidFill>
                <a:schemeClr val="tx2">
                  <a:lumMod val="50000"/>
                  <a:lumOff val="50000"/>
                </a:schemeClr>
              </a:solidFill>
            </a:rPr>
            <a:t>                                        5.5                                        6</a:t>
          </a:r>
          <a:r>
            <a:rPr lang="en-US" sz="900">
              <a:solidFill>
                <a:schemeClr val="tx2">
                  <a:lumMod val="50000"/>
                  <a:lumOff val="50000"/>
                </a:schemeClr>
              </a:solidFill>
            </a:rPr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realtor.com/" TargetMode="External"/><Relationship Id="rId18" Type="http://schemas.openxmlformats.org/officeDocument/2006/relationships/hyperlink" Target="https://homeguides.sfgate.com/retail-leases-tenant-improvements-48493.html" TargetMode="External"/><Relationship Id="rId26" Type="http://schemas.openxmlformats.org/officeDocument/2006/relationships/hyperlink" Target="https://www.kentleyinsights.com/Parking-Lots-and-Garages-industry-market-research-report/" TargetMode="External"/><Relationship Id="rId21" Type="http://schemas.openxmlformats.org/officeDocument/2006/relationships/hyperlink" Target="https://chicagobroker.com/chicago-commercial-real-estate-leasing-commission-structures/" TargetMode="External"/><Relationship Id="rId34" Type="http://schemas.openxmlformats.org/officeDocument/2006/relationships/hyperlink" Target="https://homeguide.com/costs/landscaping-costs" TargetMode="External"/><Relationship Id="rId7" Type="http://schemas.openxmlformats.org/officeDocument/2006/relationships/hyperlink" Target="http://realtor.com/" TargetMode="External"/><Relationship Id="rId12" Type="http://schemas.openxmlformats.org/officeDocument/2006/relationships/hyperlink" Target="http://fixr.com/" TargetMode="External"/><Relationship Id="rId17" Type="http://schemas.openxmlformats.org/officeDocument/2006/relationships/hyperlink" Target="https://chicagobroker.com/chicago-commercial-real-estate-leasing-commission-structures/" TargetMode="External"/><Relationship Id="rId25" Type="http://schemas.openxmlformats.org/officeDocument/2006/relationships/hyperlink" Target="https://www.pasadenastarnews.com/2018/02/23/how-much-space-your-rental-dollar-buys-for-los-angeles-and-orange-counties-apartments/https:/www.reinventingparking.org/2015/06/how-much-does-one-parking-spot-add-to.html" TargetMode="External"/><Relationship Id="rId33" Type="http://schemas.openxmlformats.org/officeDocument/2006/relationships/hyperlink" Target="https://janitorial.promatcher.com/cost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www.coralgables.com/media/Economic%20Development/Gables-Business-Report%20February%202020%20ADA%20Approved.pdf" TargetMode="External"/><Relationship Id="rId16" Type="http://schemas.openxmlformats.org/officeDocument/2006/relationships/hyperlink" Target="https://multifamily.cushwake.com/Download/File?Path=%2FFiles%5CRegions%5C2%5CMarket%20Research%5CFlorida%5CQuarterly%20Market%20Reports%5C2019%5CQ2%5C2019.Q2%20-%20Florida%20Multifamily%20Report.pdf&amp;Method=Attachment" TargetMode="External"/><Relationship Id="rId20" Type="http://schemas.openxmlformats.org/officeDocument/2006/relationships/hyperlink" Target="https://multifamily.cushwake.com/Download/File?Path=%2FFiles%5CRegions%5C2%5CMarket%20Research%5CFlorida%5CQuarterly%20Market%20Reports%5C2019%5CQ2%5C2019.Q2%20-%20Florida%20Multifamily%20Report.pdf&amp;Method=Attachment" TargetMode="External"/><Relationship Id="rId29" Type="http://schemas.openxmlformats.org/officeDocument/2006/relationships/hyperlink" Target="https://www.homeadvisor.com/myhomeadvisor/myprojects/191731282" TargetMode="External"/><Relationship Id="rId1" Type="http://schemas.openxmlformats.org/officeDocument/2006/relationships/hyperlink" Target="https://www.cushmanwakefield.com/-/media/cw/americas/united-states/insights-pdfs/south-florida-multifamily-midyear-update-2020.pdf?rev=c71687a59db4480f90c76a5986b72eeb" TargetMode="External"/><Relationship Id="rId6" Type="http://schemas.openxmlformats.org/officeDocument/2006/relationships/hyperlink" Target="http://fixr.com/" TargetMode="External"/><Relationship Id="rId11" Type="http://schemas.openxmlformats.org/officeDocument/2006/relationships/hyperlink" Target="https://multifamily.cushwake.com/Download/File?Path=%2FFiles%5CRegions%5C2%5CMarket%20Research%5CFlorida%5CQuarterly%20Market%20Reports%5C2019%5CQ2%5C2019.Q2%20-%20Florida%20Multifamily%20Report.pdf&amp;Method=Attachment" TargetMode="External"/><Relationship Id="rId24" Type="http://schemas.openxmlformats.org/officeDocument/2006/relationships/hyperlink" Target="https://www.fixr.com/costs/build-parking-garage" TargetMode="External"/><Relationship Id="rId32" Type="http://schemas.openxmlformats.org/officeDocument/2006/relationships/hyperlink" Target="https://www.flagshipbanks.com/blog/avoiding-costly-repairs-on-your-commercial-real-estate/https:/smallbusiness.chron.com/calculate-commercial-per-square-foot-replacement-reserves-35667.html" TargetMode="External"/><Relationship Id="rId37" Type="http://schemas.openxmlformats.org/officeDocument/2006/relationships/hyperlink" Target="https://www.buildings.com/buzz/buildings-buzz/entryid/251/why-you-should-consider-led-for-your-sports-complex" TargetMode="External"/><Relationship Id="rId5" Type="http://schemas.openxmlformats.org/officeDocument/2006/relationships/hyperlink" Target="https://www.homeadvisor.com/myhomeadvisor/myprojects/191731465?template_id=80017&amp;todo_id=3806141840&amp;entry_point_id=31109932&amp;entityID=108334257&amp;comm_auth_dt=202011082151&amp;comm_auth_id=homeadv&amp;comm_auth_hash=c15695c3e33f9a78c9164924626947e4" TargetMode="External"/><Relationship Id="rId15" Type="http://schemas.openxmlformats.org/officeDocument/2006/relationships/hyperlink" Target="https://www.cre-sources.com/wp-content/uploads/2013/02/REAL-CAPITAL-PARTNERS-Miami-Dade-County-Retail-Market-Report-4Q16.pdf" TargetMode="External"/><Relationship Id="rId23" Type="http://schemas.openxmlformats.org/officeDocument/2006/relationships/hyperlink" Target="https://usa.streetsblog.org/2016/07/05/parking-takes-up-more-space-than-you-think/" TargetMode="External"/><Relationship Id="rId28" Type="http://schemas.openxmlformats.org/officeDocument/2006/relationships/hyperlink" Target="https://www.homeadvisor.com/myhomeadvisor/myprojects/191731282" TargetMode="External"/><Relationship Id="rId36" Type="http://schemas.openxmlformats.org/officeDocument/2006/relationships/hyperlink" Target="https://www.energystar.gov/sites/default/files/buildings/tools/SPP%20Sales%20Flyer%20for%20Supermarkets%20and%20Grocery%20Stores.pdf/" TargetMode="External"/><Relationship Id="rId10" Type="http://schemas.openxmlformats.org/officeDocument/2006/relationships/hyperlink" Target="http://realtor.com/" TargetMode="External"/><Relationship Id="rId19" Type="http://schemas.openxmlformats.org/officeDocument/2006/relationships/hyperlink" Target="https://thehustle.co/gym-membership-cost" TargetMode="External"/><Relationship Id="rId31" Type="http://schemas.openxmlformats.org/officeDocument/2006/relationships/hyperlink" Target="https://www.homeadvisor.com/myhomeadvisor/myprojects/191731282" TargetMode="External"/><Relationship Id="rId4" Type="http://schemas.openxmlformats.org/officeDocument/2006/relationships/hyperlink" Target="https://www.loopnet.com/Listing/2690-SW-22nd-St-Coral-Gables-FL/20956722/" TargetMode="External"/><Relationship Id="rId9" Type="http://schemas.openxmlformats.org/officeDocument/2006/relationships/hyperlink" Target="http://fixr.com/" TargetMode="External"/><Relationship Id="rId14" Type="http://schemas.openxmlformats.org/officeDocument/2006/relationships/hyperlink" Target="https://multifamily.cushwake.com/Download/File?Path=%2FFiles%5CRegions%5C2%5CMarket%20Research%5CFlorida%5CQuarterly%20Market%20Reports%5C2019%5CQ2%5C2019.Q2%20-%20Florida%20Multifamily%20Report.pdf&amp;Method=Attachment" TargetMode="External"/><Relationship Id="rId22" Type="http://schemas.openxmlformats.org/officeDocument/2006/relationships/hyperlink" Target="https://homeguides.sfgate.com/retail-leases-tenant-improvements-48493.html" TargetMode="External"/><Relationship Id="rId27" Type="http://schemas.openxmlformats.org/officeDocument/2006/relationships/hyperlink" Target="https://ops.fhwa.dot.gov/publications/fhwahop12026/sec_2.htm" TargetMode="External"/><Relationship Id="rId30" Type="http://schemas.openxmlformats.org/officeDocument/2006/relationships/hyperlink" Target="https://aquilacommercial.com/learning-center/how-much-cost-to-market-commercial-property/" TargetMode="External"/><Relationship Id="rId35" Type="http://schemas.openxmlformats.org/officeDocument/2006/relationships/hyperlink" Target="https://www.move.org/utility-bills-101/" TargetMode="External"/><Relationship Id="rId8" Type="http://schemas.openxmlformats.org/officeDocument/2006/relationships/hyperlink" Target="https://multifamily.cushwake.com/Download/File?Path=%2FFiles%5CRegions%5C2%5CMarket%20Research%5CFlorida%5CQuarterly%20Market%20Reports%5C2019%5CQ2%5C2019.Q2%20-%20Florida%20Multifamily%20Report.pdf&amp;Method=Attachment" TargetMode="External"/><Relationship Id="rId3" Type="http://schemas.openxmlformats.org/officeDocument/2006/relationships/hyperlink" Target="https://www.loopnet.com/Listing/2690-SW-22nd-St-Coral-Gables-FL/209567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tabSelected="1" workbookViewId="0"/>
  </sheetViews>
  <sheetFormatPr baseColWidth="10" defaultColWidth="11.28515625" defaultRowHeight="15" customHeight="1" x14ac:dyDescent="0.2"/>
  <cols>
    <col min="1" max="1" width="21.28515625" customWidth="1"/>
    <col min="2" max="8" width="10.5703125" customWidth="1"/>
    <col min="9" max="9" width="12.85546875" customWidth="1"/>
    <col min="10" max="26" width="10.5703125" customWidth="1"/>
  </cols>
  <sheetData>
    <row r="1" spans="1:11" ht="31.5" customHeight="1" x14ac:dyDescent="0.25">
      <c r="A1" s="1"/>
      <c r="B1" s="2"/>
      <c r="C1" s="3"/>
      <c r="D1" s="4" t="s">
        <v>0</v>
      </c>
      <c r="E1" s="3"/>
      <c r="F1" s="5"/>
      <c r="G1" s="5"/>
      <c r="H1" s="5"/>
      <c r="I1" s="5"/>
      <c r="J1" s="101"/>
    </row>
    <row r="2" spans="1:11" ht="15.75" customHeight="1" x14ac:dyDescent="0.2">
      <c r="A2" s="7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t="15.75" customHeight="1" x14ac:dyDescent="0.2">
      <c r="A3" s="7"/>
      <c r="B3" s="6" t="s">
        <v>3</v>
      </c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2">
      <c r="A4" s="7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2">
      <c r="A5" s="7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2">
      <c r="A6" s="7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2">
      <c r="A7" s="7"/>
      <c r="B7" s="6" t="s">
        <v>7</v>
      </c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2">
      <c r="A8" s="7"/>
      <c r="B8" s="6" t="s">
        <v>8</v>
      </c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2">
      <c r="A9" s="7"/>
      <c r="B9" s="6" t="s">
        <v>9</v>
      </c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2">
      <c r="A10" s="7"/>
      <c r="B10" s="6" t="s">
        <v>10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2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2">
      <c r="A12" s="7" t="s">
        <v>11</v>
      </c>
      <c r="B12" s="6" t="s">
        <v>12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.75" customHeight="1" x14ac:dyDescent="0.2">
      <c r="A14" s="7" t="s">
        <v>13</v>
      </c>
      <c r="B14" s="6" t="s">
        <v>256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5.75" customHeight="1" x14ac:dyDescent="0.2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.75" customHeight="1" x14ac:dyDescent="0.2">
      <c r="A16" s="99" t="s">
        <v>257</v>
      </c>
      <c r="B16" s="100" t="s">
        <v>260</v>
      </c>
      <c r="K16" s="6"/>
    </row>
    <row r="17" spans="1:11" ht="15.75" customHeight="1" x14ac:dyDescent="0.2">
      <c r="A17" s="99"/>
      <c r="B17" s="100" t="s">
        <v>262</v>
      </c>
      <c r="K17" s="6"/>
    </row>
    <row r="18" spans="1:11" ht="15.75" customHeight="1" x14ac:dyDescent="0.2">
      <c r="A18" s="82"/>
      <c r="K18" s="6"/>
    </row>
    <row r="19" spans="1:11" ht="15.75" customHeight="1" x14ac:dyDescent="0.2">
      <c r="A19" s="99" t="s">
        <v>258</v>
      </c>
      <c r="B19" s="100" t="s">
        <v>260</v>
      </c>
      <c r="C19" s="100"/>
      <c r="D19" s="100"/>
      <c r="E19" s="100"/>
      <c r="F19" s="100"/>
      <c r="G19" s="100"/>
      <c r="H19" s="100"/>
      <c r="I19" s="100"/>
      <c r="K19" s="6"/>
    </row>
    <row r="20" spans="1:11" ht="15.75" customHeight="1" x14ac:dyDescent="0.2">
      <c r="A20" s="99"/>
      <c r="B20" s="100" t="s">
        <v>261</v>
      </c>
      <c r="C20" s="100"/>
      <c r="D20" s="100"/>
      <c r="E20" s="100"/>
      <c r="F20" s="100"/>
      <c r="G20" s="100"/>
      <c r="H20" s="100"/>
      <c r="I20" s="100"/>
    </row>
    <row r="21" spans="1:11" ht="15.75" customHeight="1" x14ac:dyDescent="0.2">
      <c r="A21" s="82"/>
    </row>
    <row r="22" spans="1:11" ht="15.75" customHeight="1" x14ac:dyDescent="0.2">
      <c r="A22" s="99" t="s">
        <v>259</v>
      </c>
      <c r="B22" s="100" t="s">
        <v>263</v>
      </c>
      <c r="J22" s="6"/>
    </row>
    <row r="23" spans="1:11" ht="15.75" customHeight="1" x14ac:dyDescent="0.2">
      <c r="A23" s="99"/>
      <c r="J23" s="6"/>
    </row>
    <row r="24" spans="1:11" ht="15.75" customHeight="1" x14ac:dyDescent="0.2">
      <c r="A24" s="7" t="s">
        <v>14</v>
      </c>
      <c r="B24" s="6" t="s">
        <v>15</v>
      </c>
      <c r="I24" s="6"/>
      <c r="J24" s="6"/>
    </row>
    <row r="25" spans="1:11" ht="15.75" customHeight="1" x14ac:dyDescent="0.2">
      <c r="A25" s="7"/>
      <c r="I25" s="6"/>
      <c r="J25" s="6"/>
    </row>
    <row r="26" spans="1:11" ht="15.75" customHeight="1" x14ac:dyDescent="0.2">
      <c r="A26" s="7" t="s">
        <v>16</v>
      </c>
      <c r="B26" s="6" t="s">
        <v>17</v>
      </c>
      <c r="C26" s="6"/>
      <c r="D26" s="6"/>
      <c r="E26" s="6"/>
      <c r="F26" s="6"/>
      <c r="G26" s="6"/>
      <c r="H26" s="6"/>
      <c r="I26" s="6"/>
    </row>
    <row r="27" spans="1:11" ht="15.75" customHeight="1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11" ht="15.75" customHeight="1" x14ac:dyDescent="0.2">
      <c r="A28" s="7" t="s">
        <v>18</v>
      </c>
      <c r="B28" s="6" t="s">
        <v>19</v>
      </c>
      <c r="C28" s="6" t="s">
        <v>20</v>
      </c>
      <c r="D28" s="6" t="s">
        <v>21</v>
      </c>
      <c r="E28" s="6" t="s">
        <v>22</v>
      </c>
      <c r="F28" s="6"/>
      <c r="G28" s="6"/>
      <c r="H28" s="6"/>
    </row>
    <row r="29" spans="1:11" ht="15.75" customHeight="1" x14ac:dyDescent="0.2">
      <c r="A29" s="7" t="s">
        <v>23</v>
      </c>
      <c r="B29" s="6" t="s">
        <v>24</v>
      </c>
      <c r="C29" s="6" t="s">
        <v>25</v>
      </c>
      <c r="D29" s="6" t="s">
        <v>26</v>
      </c>
      <c r="E29" s="6" t="s">
        <v>27</v>
      </c>
      <c r="F29" s="6"/>
      <c r="G29" s="6"/>
      <c r="H29" s="6"/>
    </row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1.28515625" defaultRowHeight="15" customHeight="1" x14ac:dyDescent="0.2"/>
  <cols>
    <col min="1" max="1" width="41.140625" customWidth="1"/>
    <col min="2" max="2" width="17.140625" customWidth="1"/>
    <col min="3" max="3" width="10.5703125" customWidth="1"/>
    <col min="4" max="4" width="38.7109375" customWidth="1"/>
    <col min="5" max="5" width="16" customWidth="1"/>
    <col min="6" max="6" width="10.5703125" customWidth="1"/>
    <col min="7" max="7" width="39.42578125" customWidth="1"/>
    <col min="8" max="26" width="10.5703125" customWidth="1"/>
  </cols>
  <sheetData>
    <row r="1" spans="1:8" ht="15.75" customHeight="1" x14ac:dyDescent="0.2">
      <c r="A1" s="8" t="s">
        <v>28</v>
      </c>
      <c r="B1" s="9" t="s">
        <v>29</v>
      </c>
      <c r="C1" s="10"/>
      <c r="D1" s="8" t="s">
        <v>30</v>
      </c>
      <c r="E1" s="9" t="s">
        <v>29</v>
      </c>
      <c r="F1" s="10"/>
      <c r="G1" s="10"/>
      <c r="H1" s="10"/>
    </row>
    <row r="2" spans="1:8" ht="15.75" customHeight="1" x14ac:dyDescent="0.2">
      <c r="A2" s="11" t="s">
        <v>31</v>
      </c>
      <c r="B2" s="12">
        <f>SUM(B3:B5)</f>
        <v>163645</v>
      </c>
      <c r="C2" s="10"/>
      <c r="D2" s="11" t="s">
        <v>32</v>
      </c>
      <c r="E2" s="13">
        <v>0.05</v>
      </c>
      <c r="F2" s="10"/>
      <c r="G2" s="14"/>
      <c r="H2" s="10"/>
    </row>
    <row r="3" spans="1:8" ht="15.75" customHeight="1" x14ac:dyDescent="0.2">
      <c r="A3" s="11" t="s">
        <v>33</v>
      </c>
      <c r="B3" s="12">
        <f>$B$13+$E$13+$H$13</f>
        <v>82000</v>
      </c>
      <c r="C3" s="10"/>
      <c r="D3" s="11" t="s">
        <v>34</v>
      </c>
      <c r="E3" s="13">
        <v>0.2</v>
      </c>
      <c r="F3" s="10"/>
      <c r="G3" s="10"/>
      <c r="H3" s="10"/>
    </row>
    <row r="4" spans="1:8" ht="15.75" customHeight="1" x14ac:dyDescent="0.2">
      <c r="A4" s="11" t="s">
        <v>35</v>
      </c>
      <c r="B4" s="12">
        <f>$B$27+$E$27</f>
        <v>38445</v>
      </c>
      <c r="C4" s="10"/>
      <c r="D4" s="11" t="s">
        <v>36</v>
      </c>
      <c r="E4" s="15">
        <v>450</v>
      </c>
      <c r="F4" s="10"/>
      <c r="G4" s="10"/>
      <c r="H4" s="10"/>
    </row>
    <row r="5" spans="1:8" ht="15.75" customHeight="1" x14ac:dyDescent="0.2">
      <c r="A5" s="11" t="s">
        <v>37</v>
      </c>
      <c r="B5" s="12">
        <f>$H$27</f>
        <v>43200</v>
      </c>
      <c r="C5" s="10"/>
      <c r="D5" s="11" t="s">
        <v>38</v>
      </c>
      <c r="E5" s="12">
        <v>0.2</v>
      </c>
      <c r="F5" s="10"/>
      <c r="G5" s="10"/>
      <c r="H5" s="10"/>
    </row>
    <row r="6" spans="1:8" ht="15.75" customHeight="1" x14ac:dyDescent="0.2">
      <c r="A6" s="11" t="s">
        <v>39</v>
      </c>
      <c r="B6" s="16">
        <v>5.7500000000000002E-2</v>
      </c>
      <c r="C6" s="10"/>
      <c r="D6" s="11" t="s">
        <v>40</v>
      </c>
      <c r="E6" s="16">
        <v>0.05</v>
      </c>
      <c r="F6" s="10"/>
      <c r="G6" s="10"/>
      <c r="H6" s="10"/>
    </row>
    <row r="7" spans="1:8" ht="15.75" customHeight="1" x14ac:dyDescent="0.2">
      <c r="A7" s="11" t="s">
        <v>41</v>
      </c>
      <c r="B7" s="16">
        <v>9.8900000000000002E-2</v>
      </c>
      <c r="C7" s="10"/>
      <c r="D7" s="11" t="s">
        <v>42</v>
      </c>
      <c r="E7" s="17">
        <v>15</v>
      </c>
      <c r="F7" s="10"/>
      <c r="G7" s="10"/>
      <c r="H7" s="10"/>
    </row>
    <row r="8" spans="1:8" ht="15.75" customHeight="1" x14ac:dyDescent="0.2">
      <c r="A8" s="11" t="s">
        <v>43</v>
      </c>
      <c r="B8" s="18">
        <f>$E$4*$B$2</f>
        <v>73640250</v>
      </c>
      <c r="C8" s="10"/>
      <c r="D8" s="11"/>
      <c r="E8" s="18"/>
      <c r="F8" s="10"/>
      <c r="G8" s="10"/>
      <c r="H8" s="10"/>
    </row>
    <row r="9" spans="1:8" ht="15.75" customHeight="1" x14ac:dyDescent="0.2">
      <c r="A9" s="11" t="s">
        <v>44</v>
      </c>
      <c r="B9" s="18">
        <f>((B3*B14)+(B5*H28)+(B4))*E4</f>
        <v>205760250</v>
      </c>
      <c r="C9" s="10"/>
      <c r="D9" s="11" t="s">
        <v>45</v>
      </c>
      <c r="E9" s="19">
        <v>3</v>
      </c>
      <c r="F9" s="10"/>
      <c r="G9" s="10"/>
      <c r="H9" s="10"/>
    </row>
    <row r="10" spans="1:8" ht="15.75" customHeight="1" x14ac:dyDescent="0.2">
      <c r="A10" s="10"/>
      <c r="B10" s="10"/>
      <c r="C10" s="10"/>
      <c r="D10" s="10"/>
      <c r="E10" s="10"/>
      <c r="F10" s="10"/>
      <c r="G10" s="10"/>
      <c r="H10" s="10"/>
    </row>
    <row r="11" spans="1:8" ht="15.75" customHeight="1" x14ac:dyDescent="0.2"/>
    <row r="12" spans="1:8" ht="15.75" customHeight="1" x14ac:dyDescent="0.2">
      <c r="A12" s="8" t="s">
        <v>46</v>
      </c>
      <c r="B12" s="9" t="s">
        <v>29</v>
      </c>
      <c r="C12" s="20"/>
      <c r="D12" s="8" t="s">
        <v>47</v>
      </c>
      <c r="E12" s="9" t="s">
        <v>29</v>
      </c>
      <c r="F12" s="10"/>
      <c r="G12" s="8" t="s">
        <v>48</v>
      </c>
      <c r="H12" s="9" t="s">
        <v>29</v>
      </c>
    </row>
    <row r="13" spans="1:8" ht="15.75" customHeight="1" x14ac:dyDescent="0.2">
      <c r="A13" s="11" t="s">
        <v>49</v>
      </c>
      <c r="B13" s="12">
        <v>36000</v>
      </c>
      <c r="C13" s="10"/>
      <c r="D13" s="11" t="s">
        <v>50</v>
      </c>
      <c r="E13" s="12">
        <v>30000</v>
      </c>
      <c r="F13" s="10"/>
      <c r="G13" s="11" t="s">
        <v>50</v>
      </c>
      <c r="H13" s="12">
        <v>16000</v>
      </c>
    </row>
    <row r="14" spans="1:8" ht="15.75" customHeight="1" x14ac:dyDescent="0.2">
      <c r="A14" s="11" t="s">
        <v>51</v>
      </c>
      <c r="B14" s="12">
        <v>3</v>
      </c>
      <c r="C14" s="10"/>
      <c r="D14" s="11" t="s">
        <v>51</v>
      </c>
      <c r="E14" s="12">
        <v>3</v>
      </c>
      <c r="F14" s="10"/>
      <c r="G14" s="11" t="s">
        <v>51</v>
      </c>
      <c r="H14" s="12">
        <v>3</v>
      </c>
    </row>
    <row r="15" spans="1:8" ht="15.75" customHeight="1" x14ac:dyDescent="0.2">
      <c r="A15" s="11" t="s">
        <v>52</v>
      </c>
      <c r="B15" s="21">
        <v>290</v>
      </c>
      <c r="C15" s="10"/>
      <c r="D15" s="11" t="s">
        <v>52</v>
      </c>
      <c r="E15" s="21">
        <v>300</v>
      </c>
      <c r="F15" s="10"/>
      <c r="G15" s="11" t="s">
        <v>52</v>
      </c>
      <c r="H15" s="21">
        <v>150</v>
      </c>
    </row>
    <row r="16" spans="1:8" ht="15.75" customHeight="1" x14ac:dyDescent="0.2">
      <c r="A16" s="11" t="s">
        <v>53</v>
      </c>
      <c r="B16" s="21">
        <f>$B$15*$E$5</f>
        <v>58</v>
      </c>
      <c r="C16" s="10"/>
      <c r="D16" s="11" t="s">
        <v>53</v>
      </c>
      <c r="E16" s="21">
        <f>$E$15*$E$5</f>
        <v>60</v>
      </c>
      <c r="F16" s="10"/>
      <c r="G16" s="11" t="s">
        <v>53</v>
      </c>
      <c r="H16" s="21">
        <f>$H$15*$E$5</f>
        <v>30</v>
      </c>
    </row>
    <row r="17" spans="1:8" ht="15.75" customHeight="1" x14ac:dyDescent="0.2">
      <c r="A17" s="22" t="s">
        <v>54</v>
      </c>
      <c r="B17" s="21">
        <v>3.2</v>
      </c>
      <c r="C17" s="10"/>
      <c r="D17" s="22" t="s">
        <v>54</v>
      </c>
      <c r="E17" s="21">
        <v>2.83</v>
      </c>
      <c r="F17" s="10"/>
      <c r="G17" s="22" t="s">
        <v>54</v>
      </c>
      <c r="H17" s="21">
        <v>2.83</v>
      </c>
    </row>
    <row r="18" spans="1:8" ht="15.75" customHeight="1" x14ac:dyDescent="0.2">
      <c r="A18" s="11" t="s">
        <v>55</v>
      </c>
      <c r="B18" s="17">
        <v>3</v>
      </c>
      <c r="C18" s="10"/>
      <c r="D18" s="11" t="s">
        <v>55</v>
      </c>
      <c r="E18" s="17">
        <v>3</v>
      </c>
      <c r="F18" s="10"/>
      <c r="G18" s="11" t="s">
        <v>55</v>
      </c>
      <c r="H18" s="17">
        <v>3</v>
      </c>
    </row>
    <row r="19" spans="1:8" ht="15.75" customHeight="1" x14ac:dyDescent="0.2">
      <c r="A19" s="11" t="s">
        <v>56</v>
      </c>
      <c r="B19" s="23">
        <v>5.7500000000000002E-2</v>
      </c>
      <c r="C19" s="10"/>
      <c r="D19" s="11" t="s">
        <v>56</v>
      </c>
      <c r="E19" s="23">
        <v>5.7500000000000002E-2</v>
      </c>
      <c r="F19" s="10"/>
      <c r="G19" s="11" t="s">
        <v>56</v>
      </c>
      <c r="H19" s="13">
        <v>0</v>
      </c>
    </row>
    <row r="20" spans="1:8" ht="15.75" customHeight="1" x14ac:dyDescent="0.2">
      <c r="A20" s="11" t="s">
        <v>57</v>
      </c>
      <c r="B20" s="23">
        <v>7.4999999999999997E-2</v>
      </c>
      <c r="C20" s="10"/>
      <c r="D20" s="11" t="s">
        <v>57</v>
      </c>
      <c r="E20" s="23">
        <v>7.4999999999999997E-2</v>
      </c>
      <c r="F20" s="10"/>
      <c r="G20" s="11" t="s">
        <v>57</v>
      </c>
      <c r="H20" s="13">
        <v>0</v>
      </c>
    </row>
    <row r="21" spans="1:8" ht="15.75" customHeight="1" x14ac:dyDescent="0.2">
      <c r="A21" s="11" t="s">
        <v>58</v>
      </c>
      <c r="B21" s="24">
        <v>800</v>
      </c>
      <c r="C21" s="10"/>
      <c r="D21" s="11" t="s">
        <v>58</v>
      </c>
      <c r="E21" s="24">
        <v>1210</v>
      </c>
      <c r="F21" s="10"/>
      <c r="G21" s="11" t="s">
        <v>58</v>
      </c>
      <c r="H21" s="24">
        <v>1210</v>
      </c>
    </row>
    <row r="22" spans="1:8" ht="15.75" customHeight="1" x14ac:dyDescent="0.2">
      <c r="A22" s="11" t="s">
        <v>59</v>
      </c>
      <c r="B22" s="24">
        <v>135</v>
      </c>
      <c r="C22" s="10"/>
      <c r="D22" s="11" t="s">
        <v>59</v>
      </c>
      <c r="E22" s="24">
        <v>74</v>
      </c>
      <c r="F22" s="10"/>
      <c r="G22" s="11" t="s">
        <v>59</v>
      </c>
      <c r="H22" s="24">
        <v>40</v>
      </c>
    </row>
    <row r="23" spans="1:8" ht="15.75" customHeight="1" x14ac:dyDescent="0.2">
      <c r="A23" s="11" t="s">
        <v>60</v>
      </c>
      <c r="B23" s="24">
        <v>12</v>
      </c>
      <c r="C23" s="10"/>
      <c r="D23" s="11" t="s">
        <v>60</v>
      </c>
      <c r="E23" s="24">
        <v>12</v>
      </c>
      <c r="F23" s="10"/>
      <c r="G23" s="11" t="s">
        <v>60</v>
      </c>
      <c r="H23" s="24">
        <v>12</v>
      </c>
    </row>
    <row r="24" spans="1:8" ht="15.75" customHeight="1" x14ac:dyDescent="0.2">
      <c r="A24" s="11" t="s">
        <v>61</v>
      </c>
      <c r="B24" s="25">
        <v>0.03</v>
      </c>
      <c r="C24" s="10"/>
      <c r="D24" s="11" t="s">
        <v>61</v>
      </c>
      <c r="E24" s="25">
        <v>0.03</v>
      </c>
      <c r="F24" s="10"/>
      <c r="G24" s="11" t="s">
        <v>61</v>
      </c>
      <c r="H24" s="25">
        <v>0.03</v>
      </c>
    </row>
    <row r="25" spans="1:8" ht="15.75" customHeight="1" x14ac:dyDescent="0.2">
      <c r="A25" s="10"/>
      <c r="B25" s="10"/>
      <c r="C25" s="10"/>
      <c r="D25" s="10"/>
      <c r="E25" s="10"/>
      <c r="F25" s="10"/>
      <c r="G25" s="10"/>
      <c r="H25" s="10"/>
    </row>
    <row r="26" spans="1:8" ht="15.75" customHeight="1" x14ac:dyDescent="0.2">
      <c r="A26" s="8" t="s">
        <v>62</v>
      </c>
      <c r="B26" s="9" t="s">
        <v>29</v>
      </c>
      <c r="C26" s="10"/>
      <c r="D26" s="8" t="s">
        <v>63</v>
      </c>
      <c r="E26" s="9" t="s">
        <v>29</v>
      </c>
      <c r="F26" s="10"/>
      <c r="G26" s="8" t="s">
        <v>64</v>
      </c>
      <c r="H26" s="9" t="s">
        <v>29</v>
      </c>
    </row>
    <row r="27" spans="1:8" ht="15.75" customHeight="1" x14ac:dyDescent="0.2">
      <c r="A27" s="11" t="s">
        <v>65</v>
      </c>
      <c r="B27" s="12">
        <v>12000</v>
      </c>
      <c r="C27" s="10"/>
      <c r="D27" s="11" t="s">
        <v>65</v>
      </c>
      <c r="E27" s="12">
        <v>26445</v>
      </c>
      <c r="F27" s="10"/>
      <c r="G27" s="11" t="s">
        <v>50</v>
      </c>
      <c r="H27" s="12">
        <v>43200</v>
      </c>
    </row>
    <row r="28" spans="1:8" ht="15.75" customHeight="1" x14ac:dyDescent="0.2">
      <c r="A28" s="11" t="s">
        <v>52</v>
      </c>
      <c r="B28" s="21">
        <v>260</v>
      </c>
      <c r="C28" s="10"/>
      <c r="D28" s="11" t="s">
        <v>52</v>
      </c>
      <c r="E28" s="21">
        <v>320</v>
      </c>
      <c r="F28" s="10"/>
      <c r="G28" s="11" t="s">
        <v>51</v>
      </c>
      <c r="H28" s="12">
        <v>4</v>
      </c>
    </row>
    <row r="29" spans="1:8" ht="15.75" customHeight="1" x14ac:dyDescent="0.2">
      <c r="A29" s="11" t="s">
        <v>53</v>
      </c>
      <c r="B29" s="21">
        <f>$B$28*$E$5</f>
        <v>52</v>
      </c>
      <c r="C29" s="10"/>
      <c r="D29" s="11" t="s">
        <v>53</v>
      </c>
      <c r="E29" s="21">
        <f>$E$28*$E$5</f>
        <v>64</v>
      </c>
      <c r="F29" s="10"/>
      <c r="G29" s="11" t="s">
        <v>66</v>
      </c>
      <c r="H29" s="12">
        <v>180</v>
      </c>
    </row>
    <row r="30" spans="1:8" ht="15.75" customHeight="1" x14ac:dyDescent="0.2">
      <c r="A30" s="22" t="s">
        <v>54</v>
      </c>
      <c r="B30" s="21">
        <v>3</v>
      </c>
      <c r="C30" s="10"/>
      <c r="D30" s="22" t="s">
        <v>54</v>
      </c>
      <c r="E30" s="21">
        <v>2</v>
      </c>
      <c r="F30" s="10"/>
      <c r="G30" s="11" t="s">
        <v>67</v>
      </c>
      <c r="H30" s="12">
        <f>(H27*H28)/H29</f>
        <v>960</v>
      </c>
    </row>
    <row r="31" spans="1:8" ht="15.75" customHeight="1" x14ac:dyDescent="0.2">
      <c r="A31" s="11" t="s">
        <v>55</v>
      </c>
      <c r="B31" s="17">
        <v>3</v>
      </c>
      <c r="C31" s="10"/>
      <c r="D31" s="11" t="s">
        <v>55</v>
      </c>
      <c r="E31" s="17">
        <v>3</v>
      </c>
      <c r="F31" s="10"/>
      <c r="G31" s="11" t="s">
        <v>52</v>
      </c>
      <c r="H31" s="21">
        <v>65</v>
      </c>
    </row>
    <row r="32" spans="1:8" ht="15.75" customHeight="1" x14ac:dyDescent="0.2">
      <c r="A32" s="11" t="s">
        <v>56</v>
      </c>
      <c r="B32" s="16">
        <v>9.8900000000000002E-2</v>
      </c>
      <c r="C32" s="10"/>
      <c r="D32" s="11" t="s">
        <v>56</v>
      </c>
      <c r="E32" s="16">
        <v>9.8900000000000002E-2</v>
      </c>
      <c r="F32" s="10"/>
      <c r="G32" s="11" t="s">
        <v>53</v>
      </c>
      <c r="H32" s="21">
        <f>$H$31*$E$5</f>
        <v>13</v>
      </c>
    </row>
    <row r="33" spans="1:8" ht="15.75" customHeight="1" x14ac:dyDescent="0.2">
      <c r="A33" s="11" t="s">
        <v>68</v>
      </c>
      <c r="B33" s="26">
        <v>12</v>
      </c>
      <c r="C33" s="10"/>
      <c r="D33" s="11" t="s">
        <v>68</v>
      </c>
      <c r="E33" s="26">
        <v>12</v>
      </c>
      <c r="F33" s="10"/>
      <c r="G33" s="11" t="s">
        <v>69</v>
      </c>
      <c r="H33" s="18">
        <v>1.25</v>
      </c>
    </row>
    <row r="34" spans="1:8" ht="15.75" customHeight="1" x14ac:dyDescent="0.2">
      <c r="A34" s="11" t="s">
        <v>61</v>
      </c>
      <c r="B34" s="16">
        <v>0.02</v>
      </c>
      <c r="C34" s="10"/>
      <c r="D34" s="11" t="s">
        <v>61</v>
      </c>
      <c r="E34" s="16">
        <v>0.02</v>
      </c>
      <c r="F34" s="10"/>
      <c r="G34" s="11" t="s">
        <v>60</v>
      </c>
      <c r="H34" s="26">
        <v>12</v>
      </c>
    </row>
    <row r="35" spans="1:8" ht="15.75" customHeight="1" x14ac:dyDescent="0.2">
      <c r="A35" s="11" t="s">
        <v>70</v>
      </c>
      <c r="B35" s="21">
        <v>15</v>
      </c>
      <c r="C35" s="10"/>
      <c r="D35" s="11" t="s">
        <v>70</v>
      </c>
      <c r="E35" s="21">
        <v>15</v>
      </c>
      <c r="F35" s="10"/>
      <c r="G35" s="11" t="s">
        <v>61</v>
      </c>
      <c r="H35" s="16">
        <v>0.02</v>
      </c>
    </row>
    <row r="36" spans="1:8" ht="15.75" customHeight="1" x14ac:dyDescent="0.2">
      <c r="A36" s="11" t="s">
        <v>71</v>
      </c>
      <c r="B36" s="21">
        <v>25</v>
      </c>
      <c r="C36" s="10"/>
      <c r="D36" s="11" t="s">
        <v>71</v>
      </c>
      <c r="E36" s="21">
        <v>25</v>
      </c>
      <c r="F36" s="10"/>
      <c r="G36" s="11" t="s">
        <v>56</v>
      </c>
      <c r="H36" s="16">
        <v>0.15</v>
      </c>
    </row>
    <row r="37" spans="1:8" ht="15.75" customHeight="1" x14ac:dyDescent="0.2">
      <c r="A37" s="10"/>
      <c r="B37" s="10"/>
      <c r="C37" s="10"/>
      <c r="D37" s="10"/>
      <c r="E37" s="10"/>
      <c r="F37" s="10"/>
      <c r="G37" s="10"/>
      <c r="H37" s="27"/>
    </row>
    <row r="38" spans="1:8" ht="15.75" customHeight="1" x14ac:dyDescent="0.2">
      <c r="A38" s="8" t="s">
        <v>72</v>
      </c>
      <c r="B38" s="9" t="s">
        <v>29</v>
      </c>
      <c r="C38" s="20"/>
      <c r="D38" s="8" t="s">
        <v>73</v>
      </c>
      <c r="E38" s="9" t="s">
        <v>29</v>
      </c>
      <c r="F38" s="10"/>
      <c r="G38" s="10"/>
      <c r="H38" s="28"/>
    </row>
    <row r="39" spans="1:8" ht="15.75" customHeight="1" x14ac:dyDescent="0.2">
      <c r="A39" s="29" t="s">
        <v>74</v>
      </c>
      <c r="B39" s="12"/>
      <c r="C39" s="10"/>
      <c r="D39" s="29" t="s">
        <v>33</v>
      </c>
      <c r="E39" s="24"/>
      <c r="F39" s="10"/>
      <c r="G39" s="10"/>
      <c r="H39" s="10"/>
    </row>
    <row r="40" spans="1:8" ht="15.75" customHeight="1" x14ac:dyDescent="0.2">
      <c r="A40" s="11" t="s">
        <v>75</v>
      </c>
      <c r="B40" s="21">
        <f>(B9*1.5%)</f>
        <v>3086403.75</v>
      </c>
      <c r="C40" s="10"/>
      <c r="D40" s="11" t="s">
        <v>76</v>
      </c>
      <c r="E40" s="18">
        <f>((B15*B13*B14)+(E15*E13*E14)+(H15*H13*H14))</f>
        <v>65520000</v>
      </c>
      <c r="F40" s="10"/>
      <c r="G40" s="10"/>
      <c r="H40" s="10"/>
    </row>
    <row r="41" spans="1:8" ht="15.75" customHeight="1" x14ac:dyDescent="0.2">
      <c r="A41" s="11" t="s">
        <v>77</v>
      </c>
      <c r="B41" s="21">
        <f>(B9*0.25%)</f>
        <v>514400.625</v>
      </c>
      <c r="C41" s="10"/>
      <c r="D41" s="11" t="s">
        <v>78</v>
      </c>
      <c r="E41" s="18">
        <f>(E5*E40)</f>
        <v>13104000</v>
      </c>
      <c r="F41" s="10"/>
      <c r="G41" s="10"/>
      <c r="H41" s="10"/>
    </row>
    <row r="42" spans="1:8" ht="15.75" customHeight="1" x14ac:dyDescent="0.2">
      <c r="A42" s="11" t="s">
        <v>79</v>
      </c>
      <c r="B42" s="21">
        <v>100000</v>
      </c>
      <c r="C42" s="10"/>
      <c r="D42" s="29" t="s">
        <v>80</v>
      </c>
      <c r="E42" s="24"/>
      <c r="F42" s="10"/>
      <c r="G42" s="30"/>
      <c r="H42" s="10"/>
    </row>
    <row r="43" spans="1:8" ht="15.75" customHeight="1" x14ac:dyDescent="0.2">
      <c r="A43" s="11" t="s">
        <v>81</v>
      </c>
      <c r="B43" s="21">
        <f>(B9*0.5%)</f>
        <v>1028801.25</v>
      </c>
      <c r="C43" s="10"/>
      <c r="D43" s="11" t="s">
        <v>76</v>
      </c>
      <c r="E43" s="18">
        <f>((B28*B27)+(E28*E27)+(H31*H27*H28))</f>
        <v>22814400</v>
      </c>
      <c r="F43" s="10"/>
      <c r="G43" s="10"/>
      <c r="H43" s="10"/>
    </row>
    <row r="44" spans="1:8" ht="15.75" customHeight="1" x14ac:dyDescent="0.2">
      <c r="A44" s="11" t="s">
        <v>82</v>
      </c>
      <c r="B44" s="21">
        <v>114311.25</v>
      </c>
      <c r="C44" s="10"/>
      <c r="D44" s="11" t="s">
        <v>78</v>
      </c>
      <c r="E44" s="18">
        <f>(E5*E43)</f>
        <v>4562880</v>
      </c>
      <c r="F44" s="10"/>
      <c r="G44" s="10"/>
      <c r="H44" s="10"/>
    </row>
    <row r="45" spans="1:8" ht="15.75" customHeight="1" x14ac:dyDescent="0.2">
      <c r="A45" s="11" t="s">
        <v>83</v>
      </c>
      <c r="B45" s="21">
        <v>91450</v>
      </c>
      <c r="C45" s="10"/>
      <c r="D45" s="29" t="s">
        <v>84</v>
      </c>
      <c r="E45" s="24"/>
      <c r="F45" s="10"/>
      <c r="G45" s="10"/>
      <c r="H45" s="10"/>
    </row>
    <row r="46" spans="1:8" ht="15.75" customHeight="1" x14ac:dyDescent="0.2">
      <c r="A46" s="11" t="s">
        <v>85</v>
      </c>
      <c r="B46" s="21">
        <v>981870</v>
      </c>
      <c r="C46" s="10"/>
      <c r="D46" s="11" t="s">
        <v>86</v>
      </c>
      <c r="E46" s="18">
        <f>(E40+E43)*E6</f>
        <v>4416720</v>
      </c>
      <c r="F46" s="10"/>
      <c r="G46" s="10"/>
      <c r="H46" s="10"/>
    </row>
    <row r="47" spans="1:8" ht="15.75" customHeight="1" x14ac:dyDescent="0.2">
      <c r="A47" s="29" t="s">
        <v>87</v>
      </c>
      <c r="B47" s="21"/>
      <c r="C47" s="10"/>
      <c r="D47" s="29" t="s">
        <v>88</v>
      </c>
      <c r="E47" s="18">
        <f>SUM(E40:E46)</f>
        <v>110418000</v>
      </c>
      <c r="F47" s="10"/>
      <c r="G47" s="10"/>
      <c r="H47" s="10"/>
    </row>
    <row r="48" spans="1:8" ht="15.75" customHeight="1" x14ac:dyDescent="0.2">
      <c r="A48" s="11" t="s">
        <v>33</v>
      </c>
      <c r="B48" s="21"/>
      <c r="C48" s="10"/>
      <c r="D48" s="10"/>
      <c r="E48" s="10"/>
      <c r="F48" s="10"/>
      <c r="G48" s="10"/>
      <c r="H48" s="10"/>
    </row>
    <row r="49" spans="1:8" ht="15.75" customHeight="1" x14ac:dyDescent="0.2">
      <c r="A49" s="11" t="s">
        <v>89</v>
      </c>
      <c r="B49" s="21">
        <v>941220</v>
      </c>
      <c r="C49" s="10"/>
      <c r="D49" s="10"/>
      <c r="E49" s="10"/>
      <c r="F49" s="10"/>
      <c r="G49" s="10"/>
      <c r="H49" s="10"/>
    </row>
    <row r="50" spans="1:8" ht="15.75" customHeight="1" x14ac:dyDescent="0.2">
      <c r="A50" s="11" t="s">
        <v>80</v>
      </c>
      <c r="B50" s="21"/>
      <c r="C50" s="10"/>
      <c r="D50" s="10"/>
      <c r="E50" s="10"/>
      <c r="F50" s="10"/>
      <c r="G50" s="10"/>
      <c r="H50" s="10"/>
    </row>
    <row r="51" spans="1:8" ht="15.75" customHeight="1" x14ac:dyDescent="0.2">
      <c r="A51" s="11" t="s">
        <v>89</v>
      </c>
      <c r="B51" s="21">
        <v>81056.25</v>
      </c>
      <c r="F51" s="10"/>
      <c r="G51" s="10"/>
      <c r="H51" s="10"/>
    </row>
    <row r="52" spans="1:8" ht="15.75" customHeight="1" x14ac:dyDescent="0.2">
      <c r="B52" s="31"/>
    </row>
    <row r="53" spans="1:8" ht="15.75" customHeight="1" x14ac:dyDescent="0.2">
      <c r="B53" s="31"/>
    </row>
    <row r="54" spans="1:8" ht="15.75" customHeight="1" x14ac:dyDescent="0.2">
      <c r="B54" s="31"/>
    </row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8"/>
  <sheetViews>
    <sheetView showGridLines="0" zoomScale="80" zoomScaleNormal="80" workbookViewId="0">
      <pane ySplit="4" topLeftCell="A5" activePane="bottomLeft" state="frozen"/>
      <selection pane="bottomLeft" activeCell="A2" sqref="A2"/>
    </sheetView>
  </sheetViews>
  <sheetFormatPr baseColWidth="10" defaultColWidth="11.28515625" defaultRowHeight="15" customHeight="1" x14ac:dyDescent="0.2"/>
  <cols>
    <col min="1" max="1" width="44.140625" customWidth="1"/>
    <col min="2" max="2" width="16.28515625" customWidth="1"/>
    <col min="3" max="3" width="16.140625" customWidth="1"/>
    <col min="4" max="4" width="16.28515625" customWidth="1"/>
    <col min="5" max="13" width="15" customWidth="1"/>
    <col min="14" max="16" width="15" style="55" customWidth="1"/>
    <col min="17" max="17" width="16.7109375" style="55" customWidth="1"/>
    <col min="18" max="18" width="14.7109375" style="55" customWidth="1"/>
    <col min="19" max="26" width="10.5703125" style="55" customWidth="1"/>
    <col min="27" max="16384" width="11.28515625" style="55"/>
  </cols>
  <sheetData>
    <row r="1" spans="1:26" customFormat="1" ht="15" customHeight="1" x14ac:dyDescent="0.2">
      <c r="A1" s="106"/>
    </row>
    <row r="2" spans="1:26" ht="17" customHeight="1" x14ac:dyDescent="0.25">
      <c r="A2" s="113" t="s">
        <v>90</v>
      </c>
      <c r="B2" s="114">
        <v>0</v>
      </c>
      <c r="C2" s="114">
        <v>1</v>
      </c>
      <c r="D2" s="114">
        <v>2</v>
      </c>
      <c r="E2" s="114">
        <v>3</v>
      </c>
      <c r="F2" s="114">
        <v>4</v>
      </c>
      <c r="G2" s="114">
        <v>5</v>
      </c>
      <c r="H2" s="114">
        <v>6</v>
      </c>
      <c r="I2" s="114">
        <v>7</v>
      </c>
      <c r="J2" s="114">
        <v>8</v>
      </c>
      <c r="K2" s="114">
        <v>9</v>
      </c>
      <c r="L2" s="114">
        <v>10</v>
      </c>
      <c r="M2" s="114">
        <v>11</v>
      </c>
      <c r="N2" s="114">
        <v>12</v>
      </c>
      <c r="O2" s="114">
        <v>13</v>
      </c>
      <c r="P2" s="114">
        <v>14</v>
      </c>
      <c r="Q2" s="114">
        <v>15</v>
      </c>
      <c r="R2" s="115">
        <v>16</v>
      </c>
      <c r="S2" s="53"/>
      <c r="T2" s="53"/>
      <c r="U2" s="54"/>
      <c r="V2" s="54"/>
      <c r="W2" s="54"/>
      <c r="X2" s="54"/>
      <c r="Y2" s="54"/>
      <c r="Z2" s="54"/>
    </row>
    <row r="3" spans="1:26" ht="18" customHeight="1" x14ac:dyDescent="0.25">
      <c r="A3" s="107" t="s">
        <v>91</v>
      </c>
      <c r="B3" s="32" t="str">
        <f t="shared" ref="B3:M3" si="0">IF(B2&lt;FirstYearIncome,"NO","YES")</f>
        <v>NO</v>
      </c>
      <c r="C3" s="32" t="str">
        <f t="shared" si="0"/>
        <v>NO</v>
      </c>
      <c r="D3" s="32" t="str">
        <f t="shared" si="0"/>
        <v>NO</v>
      </c>
      <c r="E3" s="32" t="str">
        <f t="shared" si="0"/>
        <v>YES</v>
      </c>
      <c r="F3" s="32" t="str">
        <f t="shared" si="0"/>
        <v>YES</v>
      </c>
      <c r="G3" s="32" t="str">
        <f t="shared" si="0"/>
        <v>YES</v>
      </c>
      <c r="H3" s="32" t="str">
        <f t="shared" si="0"/>
        <v>YES</v>
      </c>
      <c r="I3" s="32" t="str">
        <f t="shared" si="0"/>
        <v>YES</v>
      </c>
      <c r="J3" s="32" t="str">
        <f t="shared" si="0"/>
        <v>YES</v>
      </c>
      <c r="K3" s="32" t="str">
        <f t="shared" si="0"/>
        <v>YES</v>
      </c>
      <c r="L3" s="32" t="str">
        <f t="shared" si="0"/>
        <v>YES</v>
      </c>
      <c r="M3" s="32" t="str">
        <f t="shared" si="0"/>
        <v>YES</v>
      </c>
      <c r="N3" s="32" t="str">
        <f t="shared" ref="N3" si="1">IF(N2&lt;FirstYearIncome,"NO","YES")</f>
        <v>YES</v>
      </c>
      <c r="O3" s="32" t="str">
        <f t="shared" ref="O3" si="2">IF(O2&lt;FirstYearIncome,"NO","YES")</f>
        <v>YES</v>
      </c>
      <c r="P3" s="32" t="str">
        <f t="shared" ref="P3" si="3">IF(P2&lt;FirstYearIncome,"NO","YES")</f>
        <v>YES</v>
      </c>
      <c r="Q3" s="32" t="str">
        <f t="shared" ref="Q3" si="4">IF(Q2&lt;FirstYearIncome,"NO","YES")</f>
        <v>YES</v>
      </c>
      <c r="R3" s="102" t="str">
        <f t="shared" ref="R3" si="5">IF(R2&lt;FirstYearIncome,"NO","YES")</f>
        <v>YES</v>
      </c>
      <c r="S3" s="53"/>
      <c r="T3" s="53"/>
      <c r="U3" s="54"/>
      <c r="V3" s="54"/>
      <c r="W3" s="54"/>
      <c r="X3" s="54"/>
      <c r="Y3" s="54"/>
      <c r="Z3" s="54"/>
    </row>
    <row r="4" spans="1:26" ht="15.75" customHeight="1" x14ac:dyDescent="0.25">
      <c r="A4" s="10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53"/>
      <c r="O4" s="53"/>
      <c r="P4" s="53"/>
      <c r="Q4" s="53"/>
      <c r="R4" s="103"/>
      <c r="S4" s="53"/>
      <c r="T4" s="53"/>
      <c r="U4" s="54"/>
      <c r="V4" s="54"/>
      <c r="W4" s="54"/>
      <c r="X4" s="54"/>
      <c r="Y4" s="54"/>
      <c r="Z4" s="54"/>
    </row>
    <row r="5" spans="1:26" ht="15.75" customHeight="1" x14ac:dyDescent="0.25">
      <c r="A5" s="109" t="s">
        <v>92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104"/>
      <c r="S5" s="53"/>
      <c r="T5" s="53"/>
      <c r="U5" s="54"/>
      <c r="V5" s="54"/>
      <c r="W5" s="54"/>
      <c r="X5" s="54"/>
      <c r="Y5" s="54"/>
      <c r="Z5" s="54"/>
    </row>
    <row r="6" spans="1:26" ht="15.75" customHeight="1" x14ac:dyDescent="0.2">
      <c r="A6" s="110" t="str">
        <f>Assumptions!$A$12</f>
        <v>Residential- 1 Bedroom</v>
      </c>
      <c r="B6" s="116">
        <f>IF(B2&gt;=FirstYearIncome,(Assumptions!$B$21*Assumptions!$B$22*Assumptions!$B$17*Assumptions!$B$23)*(1+Assumptions!$B$24)^(B2-FirstYearIncome),0)</f>
        <v>0</v>
      </c>
      <c r="C6" s="116">
        <f>IF(C2&gt;=FirstYearIncome,(Assumptions!$B$21*Assumptions!$B$22*Assumptions!$B$17*Assumptions!$B$23)*(1+Assumptions!$B$24)^(C2-FirstYearIncome),0)</f>
        <v>0</v>
      </c>
      <c r="D6" s="116">
        <f>IF(D2&gt;=FirstYearIncome,(Assumptions!$B$21*Assumptions!$B$22*Assumptions!$B$17*Assumptions!$B$23)*(1+Assumptions!$B$24)^(D2-FirstYearIncome),0)</f>
        <v>0</v>
      </c>
      <c r="E6" s="116">
        <f>IF(E2&gt;=FirstYearIncome,(Assumptions!$B$21*Assumptions!$B$22*Assumptions!$B$17*Assumptions!$B$23)*(1+Assumptions!$B$24)^(E2-FirstYearIncome),0)</f>
        <v>4147200</v>
      </c>
      <c r="F6" s="116">
        <f>IF(F2&gt;=FirstYearIncome,(Assumptions!$B$21*Assumptions!$B$22*Assumptions!$B$17*Assumptions!$B$23)*(1+Assumptions!$B$24)^(F2-FirstYearIncome),0)</f>
        <v>4271616</v>
      </c>
      <c r="G6" s="116">
        <f>IF(G2&gt;=FirstYearIncome,(Assumptions!$B$21*Assumptions!$B$22*Assumptions!$B$17*Assumptions!$B$23)*(1+Assumptions!$B$24)^(G2-FirstYearIncome),0)</f>
        <v>4399764.4799999995</v>
      </c>
      <c r="H6" s="116">
        <f>IF(H2&gt;=FirstYearIncome,(Assumptions!$B$21*Assumptions!$B$22*Assumptions!$B$17*Assumptions!$B$23)*(1+Assumptions!$B$24)^(H2-FirstYearIncome),0)</f>
        <v>4531757.4144000001</v>
      </c>
      <c r="I6" s="116">
        <f>IF(I2&gt;=FirstYearIncome,(Assumptions!$B$21*Assumptions!$B$22*Assumptions!$B$17*Assumptions!$B$23)*(1+Assumptions!$B$24)^(I2-FirstYearIncome),0)</f>
        <v>4667710.1368319998</v>
      </c>
      <c r="J6" s="116">
        <f>IF(J2&gt;=FirstYearIncome,(Assumptions!$B$21*Assumptions!$B$22*Assumptions!$B$17*Assumptions!$B$23)*(1+Assumptions!$B$24)^(J2-FirstYearIncome),0)</f>
        <v>4807741.4409369593</v>
      </c>
      <c r="K6" s="116">
        <f>IF(K2&gt;=FirstYearIncome,(Assumptions!$B$21*Assumptions!$B$22*Assumptions!$B$17*Assumptions!$B$23)*(1+Assumptions!$B$24)^(K2-FirstYearIncome),0)</f>
        <v>4951973.6841650689</v>
      </c>
      <c r="L6" s="116">
        <f>IF(L2&gt;=FirstYearIncome,(Assumptions!$B$21*Assumptions!$B$22*Assumptions!$B$17*Assumptions!$B$23)*(1+Assumptions!$B$24)^(L2-FirstYearIncome),0)</f>
        <v>5100532.8946900209</v>
      </c>
      <c r="M6" s="116">
        <f>IF(M2&gt;=FirstYearIncome,(Assumptions!$B$21*Assumptions!$B$22*Assumptions!$B$17*Assumptions!$B$23)*(1+Assumptions!$B$24)^(M2-FirstYearIncome),0)</f>
        <v>5253548.8815307207</v>
      </c>
      <c r="N6" s="116">
        <f>IF(N2&gt;=FirstYearIncome,(Assumptions!$B$21*Assumptions!$B$22*Assumptions!$B$17*Assumptions!$B$23)*(1+Assumptions!$B$24)^(N2-FirstYearIncome),0)</f>
        <v>5411155.3479766427</v>
      </c>
      <c r="O6" s="116">
        <f>IF(O2&gt;=FirstYearIncome,(Assumptions!$B$21*Assumptions!$B$22*Assumptions!$B$17*Assumptions!$B$23)*(1+Assumptions!$B$24)^(O2-FirstYearIncome),0)</f>
        <v>5573490.0084159421</v>
      </c>
      <c r="P6" s="116">
        <f>IF(P2&gt;=FirstYearIncome,(Assumptions!$B$21*Assumptions!$B$22*Assumptions!$B$17*Assumptions!$B$23)*(1+Assumptions!$B$24)^(P2-FirstYearIncome),0)</f>
        <v>5740694.7086684201</v>
      </c>
      <c r="Q6" s="116">
        <f>IF(Q2&gt;=FirstYearIncome,(Assumptions!$B$21*Assumptions!$B$22*Assumptions!$B$17*Assumptions!$B$23)*(1+Assumptions!$B$24)^(Q2-FirstYearIncome),0)</f>
        <v>5912915.5499284724</v>
      </c>
      <c r="R6" s="117">
        <f>IF(R2&gt;=FirstYearIncome,(Assumptions!$B$21*Assumptions!$B$22*Assumptions!$B$17*Assumptions!$B$23)*(1+Assumptions!$B$24)^(R2-FirstYearIncome),0)</f>
        <v>6090303.0164263258</v>
      </c>
      <c r="S6" s="56"/>
      <c r="T6" s="56"/>
    </row>
    <row r="7" spans="1:26" ht="15.75" customHeight="1" x14ac:dyDescent="0.2">
      <c r="A7" s="110" t="str">
        <f>Assumptions!$D$12</f>
        <v>Residential- 2 Bedroom</v>
      </c>
      <c r="B7" s="116">
        <f>IF(B2&gt;=FirstYearIncome,(Assumptions!$E$21*Assumptions!$E$23*Assumptions!$E$17*Assumptions!$E$23)*(1+Assumptions!$E$24)^(B2-FirstYearIncome),0)</f>
        <v>0</v>
      </c>
      <c r="C7" s="116">
        <f>IF(C2&gt;=FirstYearIncome,(Assumptions!$E$21*Assumptions!$E$23*Assumptions!$E$17*Assumptions!$E$23)*(1+Assumptions!$E$24)^(C2-FirstYearIncome),0)</f>
        <v>0</v>
      </c>
      <c r="D7" s="116">
        <f>IF(D2&gt;=FirstYearIncome,(Assumptions!$E$21*Assumptions!$E$23*Assumptions!$E$17*Assumptions!$E$23)*(1+Assumptions!$E$24)^(D2-FirstYearIncome),0)</f>
        <v>0</v>
      </c>
      <c r="E7" s="116">
        <f>IF(E2&gt;=FirstYearIncome,(Assumptions!$E$21*Assumptions!$E$23*Assumptions!$E$17*Assumptions!$E$23)*(1+Assumptions!$E$24)^(E2-FirstYearIncome),0)</f>
        <v>493099.19999999995</v>
      </c>
      <c r="F7" s="116">
        <f>IF(F2&gt;=FirstYearIncome,(Assumptions!$E$21*Assumptions!$E$23*Assumptions!$E$17*Assumptions!$E$23)*(1+Assumptions!$E$24)^(F2-FirstYearIncome),0)</f>
        <v>507892.17599999998</v>
      </c>
      <c r="G7" s="116">
        <f>IF(G2&gt;=FirstYearIncome,(Assumptions!$E$21*Assumptions!$E$23*Assumptions!$E$17*Assumptions!$E$23)*(1+Assumptions!$E$24)^(G2-FirstYearIncome),0)</f>
        <v>523128.94127999991</v>
      </c>
      <c r="H7" s="116">
        <f>IF(H2&gt;=FirstYearIncome,(Assumptions!$E$21*Assumptions!$E$23*Assumptions!$E$17*Assumptions!$E$23)*(1+Assumptions!$E$24)^(H2-FirstYearIncome),0)</f>
        <v>538822.8095184</v>
      </c>
      <c r="I7" s="116">
        <f>IF(I2&gt;=FirstYearIncome,(Assumptions!$E$21*Assumptions!$E$23*Assumptions!$E$17*Assumptions!$E$23)*(1+Assumptions!$E$24)^(I2-FirstYearIncome),0)</f>
        <v>554987.49380395189</v>
      </c>
      <c r="J7" s="116">
        <f>IF(J2&gt;=FirstYearIncome,(Assumptions!$E$21*Assumptions!$E$23*Assumptions!$E$17*Assumptions!$E$23)*(1+Assumptions!$E$24)^(J2-FirstYearIncome),0)</f>
        <v>571637.11861807038</v>
      </c>
      <c r="K7" s="116">
        <f>IF(K2&gt;=FirstYearIncome,(Assumptions!$E$21*Assumptions!$E$23*Assumptions!$E$17*Assumptions!$E$23)*(1+Assumptions!$E$24)^(K2-FirstYearIncome),0)</f>
        <v>588786.2321766126</v>
      </c>
      <c r="L7" s="116">
        <f>IF(L2&gt;=FirstYearIncome,(Assumptions!$E$21*Assumptions!$E$23*Assumptions!$E$17*Assumptions!$E$23)*(1+Assumptions!$E$24)^(L2-FirstYearIncome),0)</f>
        <v>606449.81914191099</v>
      </c>
      <c r="M7" s="116">
        <f>IF(M2&gt;=FirstYearIncome,(Assumptions!$E$21*Assumptions!$E$23*Assumptions!$E$17*Assumptions!$E$23)*(1+Assumptions!$E$24)^(M2-FirstYearIncome),0)</f>
        <v>624643.31371616828</v>
      </c>
      <c r="N7" s="116">
        <f>IF(N2&gt;=FirstYearIncome,(Assumptions!$E$21*Assumptions!$E$23*Assumptions!$E$17*Assumptions!$E$23)*(1+Assumptions!$E$24)^(N2-FirstYearIncome),0)</f>
        <v>643382.61312765337</v>
      </c>
      <c r="O7" s="116">
        <f>IF(O2&gt;=FirstYearIncome,(Assumptions!$E$21*Assumptions!$E$23*Assumptions!$E$17*Assumptions!$E$23)*(1+Assumptions!$E$24)^(O2-FirstYearIncome),0)</f>
        <v>662684.09152148291</v>
      </c>
      <c r="P7" s="116">
        <f>IF(P2&gt;=FirstYearIncome,(Assumptions!$E$21*Assumptions!$E$23*Assumptions!$E$17*Assumptions!$E$23)*(1+Assumptions!$E$24)^(P2-FirstYearIncome),0)</f>
        <v>682564.61426712747</v>
      </c>
      <c r="Q7" s="116">
        <f>IF(Q2&gt;=FirstYearIncome,(Assumptions!$E$21*Assumptions!$E$23*Assumptions!$E$17*Assumptions!$E$23)*(1+Assumptions!$E$24)^(Q2-FirstYearIncome),0)</f>
        <v>703041.55269514117</v>
      </c>
      <c r="R7" s="117">
        <f>IF(R2&gt;=FirstYearIncome,(Assumptions!$E$21*Assumptions!$E$23*Assumptions!$E$17*Assumptions!$E$23)*(1+Assumptions!$E$24)^(R2-FirstYearIncome),0)</f>
        <v>724132.79927599535</v>
      </c>
      <c r="S7" s="56"/>
      <c r="T7" s="56"/>
    </row>
    <row r="8" spans="1:26" ht="15.75" customHeight="1" x14ac:dyDescent="0.2">
      <c r="A8" s="110" t="str">
        <f>Assumptions!$G$12</f>
        <v>Residential- 2 Bedroom (HUD)</v>
      </c>
      <c r="B8" s="116">
        <f>IF(B2&gt;=FirstYearIncome,(Assumptions!$H$21*Assumptions!$H$22*Assumptions!$H$17*Assumptions!$H$23)*(1+Assumptions!$H$24)^(B2-FirstYearIncome),0)</f>
        <v>0</v>
      </c>
      <c r="C8" s="116">
        <f>IF(C2&gt;=FirstYearIncome,(Assumptions!$H$21*Assumptions!$H$22*Assumptions!$H$17*Assumptions!$H$23)*(1+Assumptions!$H$24)^(C2-FirstYearIncome),0)</f>
        <v>0</v>
      </c>
      <c r="D8" s="116">
        <f>IF(D2&gt;=FirstYearIncome,(Assumptions!$H$21*Assumptions!$H$22*Assumptions!$H$17*Assumptions!$H$23)*(1+Assumptions!$H$24)^(D2-FirstYearIncome),0)</f>
        <v>0</v>
      </c>
      <c r="E8" s="116">
        <f>IF(E2&gt;=FirstYearIncome,(Assumptions!$H$21*Assumptions!$H$22*Assumptions!$H$17*Assumptions!$H$23)*(1+Assumptions!$H$24)^(E2-FirstYearIncome),0)</f>
        <v>1643664</v>
      </c>
      <c r="F8" s="116">
        <f>IF(F2&gt;=FirstYearIncome,(Assumptions!$H$21*Assumptions!$H$22*Assumptions!$H$17*Assumptions!$H$23)*(1+Assumptions!$H$24)^(F2-FirstYearIncome),0)</f>
        <v>1692973.9200000002</v>
      </c>
      <c r="G8" s="116">
        <f>IF(G2&gt;=FirstYearIncome,(Assumptions!$H$21*Assumptions!$H$22*Assumptions!$H$17*Assumptions!$H$23)*(1+Assumptions!$H$24)^(G2-FirstYearIncome),0)</f>
        <v>1743763.1376</v>
      </c>
      <c r="H8" s="116">
        <f>IF(H2&gt;=FirstYearIncome,(Assumptions!$H$21*Assumptions!$H$22*Assumptions!$H$17*Assumptions!$H$23)*(1+Assumptions!$H$24)^(H2-FirstYearIncome),0)</f>
        <v>1796076.0317279999</v>
      </c>
      <c r="I8" s="116">
        <f>IF(I2&gt;=FirstYearIncome,(Assumptions!$H$21*Assumptions!$H$22*Assumptions!$H$17*Assumptions!$H$23)*(1+Assumptions!$H$24)^(I2-FirstYearIncome),0)</f>
        <v>1849958.3126798398</v>
      </c>
      <c r="J8" s="116">
        <f>IF(J2&gt;=FirstYearIncome,(Assumptions!$H$21*Assumptions!$H$22*Assumptions!$H$17*Assumptions!$H$23)*(1+Assumptions!$H$24)^(J2-FirstYearIncome),0)</f>
        <v>1905457.0620602348</v>
      </c>
      <c r="K8" s="116">
        <f>IF(K2&gt;=FirstYearIncome,(Assumptions!$H$21*Assumptions!$H$22*Assumptions!$H$17*Assumptions!$H$23)*(1+Assumptions!$H$24)^(K2-FirstYearIncome),0)</f>
        <v>1962620.7739220422</v>
      </c>
      <c r="L8" s="116">
        <f>IF(L2&gt;=FirstYearIncome,(Assumptions!$H$21*Assumptions!$H$22*Assumptions!$H$17*Assumptions!$H$23)*(1+Assumptions!$H$24)^(L2-FirstYearIncome),0)</f>
        <v>2021499.3971397034</v>
      </c>
      <c r="M8" s="116">
        <f>IF(M2&gt;=FirstYearIncome,(Assumptions!$H$21*Assumptions!$H$22*Assumptions!$H$17*Assumptions!$H$23)*(1+Assumptions!$H$24)^(M2-FirstYearIncome),0)</f>
        <v>2082144.3790538944</v>
      </c>
      <c r="N8" s="116">
        <f>IF(N2&gt;=FirstYearIncome,(Assumptions!$H$21*Assumptions!$H$22*Assumptions!$H$17*Assumptions!$H$23)*(1+Assumptions!$H$24)^(N2-FirstYearIncome),0)</f>
        <v>2144608.7104255115</v>
      </c>
      <c r="O8" s="116">
        <f>IF(O2&gt;=FirstYearIncome,(Assumptions!$H$21*Assumptions!$H$22*Assumptions!$H$17*Assumptions!$H$23)*(1+Assumptions!$H$24)^(O2-FirstYearIncome),0)</f>
        <v>2208946.9717382765</v>
      </c>
      <c r="P8" s="116">
        <f>IF(P2&gt;=FirstYearIncome,(Assumptions!$H$21*Assumptions!$H$22*Assumptions!$H$17*Assumptions!$H$23)*(1+Assumptions!$H$24)^(P2-FirstYearIncome),0)</f>
        <v>2275215.3808904248</v>
      </c>
      <c r="Q8" s="116">
        <f>IF(Q2&gt;=FirstYearIncome,(Assumptions!$H$21*Assumptions!$H$22*Assumptions!$H$17*Assumptions!$H$23)*(1+Assumptions!$H$24)^(Q2-FirstYearIncome),0)</f>
        <v>2343471.8423171374</v>
      </c>
      <c r="R8" s="117">
        <f>IF(R2&gt;=FirstYearIncome,(Assumptions!$H$21*Assumptions!$H$22*Assumptions!$H$17*Assumptions!$H$23)*(1+Assumptions!$H$24)^(R2-FirstYearIncome),0)</f>
        <v>2413775.9975866512</v>
      </c>
      <c r="S8" s="56"/>
      <c r="T8" s="56"/>
    </row>
    <row r="9" spans="1:26" ht="15.75" customHeight="1" x14ac:dyDescent="0.2">
      <c r="A9" s="110" t="str">
        <f>Assumptions!$A$26</f>
        <v>Commercial- Grocery Store</v>
      </c>
      <c r="B9" s="116">
        <f>IF(B2&gt;=FirstYearIncome,(Assumptions!$B$27*Assumptions!$B$30*Assumptions!$B$33)*(1+Assumptions!$B$34)^(B2-FirstYearIncome),0)</f>
        <v>0</v>
      </c>
      <c r="C9" s="116">
        <f>IF(C2&gt;=FirstYearIncome,(Assumptions!$B$27*Assumptions!$B$30*Assumptions!$B$33)*(1+Assumptions!$B$34)^(C2-FirstYearIncome),0)</f>
        <v>0</v>
      </c>
      <c r="D9" s="116">
        <f>IF(D2&gt;=FirstYearIncome,(Assumptions!$B$27*Assumptions!$B$30*Assumptions!$B$33)*(1+Assumptions!$B$34)^(D2-FirstYearIncome),0)</f>
        <v>0</v>
      </c>
      <c r="E9" s="116">
        <f>IF(E2&gt;=FirstYearIncome,(Assumptions!$B$27*Assumptions!$B$30*Assumptions!$B$33)*(1+Assumptions!$B$34)^(E2-FirstYearIncome),0)</f>
        <v>432000</v>
      </c>
      <c r="F9" s="116">
        <f>IF(F2&gt;=FirstYearIncome,(Assumptions!$B$27*Assumptions!$B$30*Assumptions!$B$33)*(1+Assumptions!$B$34)^(F2-FirstYearIncome),0)</f>
        <v>440640</v>
      </c>
      <c r="G9" s="116">
        <f>IF(G2&gt;=FirstYearIncome,(Assumptions!$B$27*Assumptions!$B$30*Assumptions!$B$33)*(1+Assumptions!$B$34)^(G2-FirstYearIncome),0)</f>
        <v>449452.79999999999</v>
      </c>
      <c r="H9" s="116">
        <f>IF(H2&gt;=FirstYearIncome,(Assumptions!$B$27*Assumptions!$B$30*Assumptions!$B$33)*(1+Assumptions!$B$34)^(H2-FirstYearIncome),0)</f>
        <v>458441.85599999997</v>
      </c>
      <c r="I9" s="116">
        <f>IF(I2&gt;=FirstYearIncome,(Assumptions!$B$27*Assumptions!$B$30*Assumptions!$B$33)*(1+Assumptions!$B$34)^(I2-FirstYearIncome),0)</f>
        <v>467610.69312000001</v>
      </c>
      <c r="J9" s="116">
        <f>IF(J2&gt;=FirstYearIncome,(Assumptions!$B$27*Assumptions!$B$30*Assumptions!$B$33)*(1+Assumptions!$B$34)^(J2-FirstYearIncome),0)</f>
        <v>476962.90698239999</v>
      </c>
      <c r="K9" s="116">
        <f>IF(K2&gt;=FirstYearIncome,(Assumptions!$B$27*Assumptions!$B$30*Assumptions!$B$33)*(1+Assumptions!$B$34)^(K2-FirstYearIncome),0)</f>
        <v>486502.16512204806</v>
      </c>
      <c r="L9" s="116">
        <f>IF(L2&gt;=FirstYearIncome,(Assumptions!$B$27*Assumptions!$B$30*Assumptions!$B$33)*(1+Assumptions!$B$34)^(L2-FirstYearIncome),0)</f>
        <v>496232.2084244889</v>
      </c>
      <c r="M9" s="116">
        <f>IF(M2&gt;=FirstYearIncome,(Assumptions!$B$27*Assumptions!$B$30*Assumptions!$B$33)*(1+Assumptions!$B$34)^(M2-FirstYearIncome),0)</f>
        <v>506156.85259297868</v>
      </c>
      <c r="N9" s="116">
        <f>IF(N2&gt;=FirstYearIncome,(Assumptions!$B$27*Assumptions!$B$30*Assumptions!$B$33)*(1+Assumptions!$B$34)^(N2-FirstYearIncome),0)</f>
        <v>516279.98964483826</v>
      </c>
      <c r="O9" s="116">
        <f>IF(O2&gt;=FirstYearIncome,(Assumptions!$B$27*Assumptions!$B$30*Assumptions!$B$33)*(1+Assumptions!$B$34)^(O2-FirstYearIncome),0)</f>
        <v>526605.58943773503</v>
      </c>
      <c r="P9" s="116">
        <f>IF(P2&gt;=FirstYearIncome,(Assumptions!$B$27*Assumptions!$B$30*Assumptions!$B$33)*(1+Assumptions!$B$34)^(P2-FirstYearIncome),0)</f>
        <v>537137.70122648962</v>
      </c>
      <c r="Q9" s="116">
        <f>IF(Q2&gt;=FirstYearIncome,(Assumptions!$B$27*Assumptions!$B$30*Assumptions!$B$33)*(1+Assumptions!$B$34)^(Q2-FirstYearIncome),0)</f>
        <v>547880.45525101956</v>
      </c>
      <c r="R9" s="117">
        <f>IF(R2&gt;=FirstYearIncome,(Assumptions!$B$27*Assumptions!$B$30*Assumptions!$B$33)*(1+Assumptions!$B$34)^(R2-FirstYearIncome),0)</f>
        <v>558838.06435603986</v>
      </c>
      <c r="S9" s="56"/>
      <c r="T9" s="56"/>
    </row>
    <row r="10" spans="1:26" ht="15.75" customHeight="1" x14ac:dyDescent="0.2">
      <c r="A10" s="110" t="str">
        <f>Assumptions!$D$26</f>
        <v>Commercial- Recreational Center</v>
      </c>
      <c r="B10" s="116">
        <f>IF(B2&gt;=FirstYearIncome,(Assumptions!$E$27*Assumptions!$E$30*Assumptions!$E$33)*(1+Assumptions!$E$34)^(B2-FirstYearIncome),0)</f>
        <v>0</v>
      </c>
      <c r="C10" s="116">
        <f>IF(C2&gt;=FirstYearIncome,(Assumptions!$E$27*Assumptions!$E$30*Assumptions!$E$33)*(1+Assumptions!$E$34)^(C2-FirstYearIncome),0)</f>
        <v>0</v>
      </c>
      <c r="D10" s="116">
        <f>IF(D2&gt;=FirstYearIncome,(Assumptions!$E$27*Assumptions!$E$30*Assumptions!$E$33)*(1+Assumptions!$E$34)^(D2-FirstYearIncome),0)</f>
        <v>0</v>
      </c>
      <c r="E10" s="116">
        <f>IF(E2&gt;=FirstYearIncome,(Assumptions!$E$27*Assumptions!$E$30*Assumptions!$E$33)*(1+Assumptions!$E$34)^(E2-FirstYearIncome),0)</f>
        <v>634680</v>
      </c>
      <c r="F10" s="116">
        <f>IF(F2&gt;=FirstYearIncome,(Assumptions!$E$27*Assumptions!$E$30*Assumptions!$E$33)*(1+Assumptions!$E$34)^(F2-FirstYearIncome),0)</f>
        <v>647373.6</v>
      </c>
      <c r="G10" s="116">
        <f>IF(G2&gt;=FirstYearIncome,(Assumptions!$E$27*Assumptions!$E$30*Assumptions!$E$33)*(1+Assumptions!$E$34)^(G2-FirstYearIncome),0)</f>
        <v>660321.07200000004</v>
      </c>
      <c r="H10" s="116">
        <f>IF(H2&gt;=FirstYearIncome,(Assumptions!$E$27*Assumptions!$E$30*Assumptions!$E$33)*(1+Assumptions!$E$34)^(H2-FirstYearIncome),0)</f>
        <v>673527.49343999999</v>
      </c>
      <c r="I10" s="116">
        <f>IF(I2&gt;=FirstYearIncome,(Assumptions!$E$27*Assumptions!$E$30*Assumptions!$E$33)*(1+Assumptions!$E$34)^(I2-FirstYearIncome),0)</f>
        <v>686998.04330879997</v>
      </c>
      <c r="J10" s="116">
        <f>IF(J2&gt;=FirstYearIncome,(Assumptions!$E$27*Assumptions!$E$30*Assumptions!$E$33)*(1+Assumptions!$E$34)^(J2-FirstYearIncome),0)</f>
        <v>700738.00417497603</v>
      </c>
      <c r="K10" s="116">
        <f>IF(K2&gt;=FirstYearIncome,(Assumptions!$E$27*Assumptions!$E$30*Assumptions!$E$33)*(1+Assumptions!$E$34)^(K2-FirstYearIncome),0)</f>
        <v>714752.76425847551</v>
      </c>
      <c r="L10" s="116">
        <f>IF(L2&gt;=FirstYearIncome,(Assumptions!$E$27*Assumptions!$E$30*Assumptions!$E$33)*(1+Assumptions!$E$34)^(L2-FirstYearIncome),0)</f>
        <v>729047.8195436449</v>
      </c>
      <c r="M10" s="116">
        <f>IF(M2&gt;=FirstYearIncome,(Assumptions!$E$27*Assumptions!$E$30*Assumptions!$E$33)*(1+Assumptions!$E$34)^(M2-FirstYearIncome),0)</f>
        <v>743628.77593451785</v>
      </c>
      <c r="N10" s="116">
        <f>IF(N2&gt;=FirstYearIncome,(Assumptions!$E$27*Assumptions!$E$30*Assumptions!$E$33)*(1+Assumptions!$E$34)^(N2-FirstYearIncome),0)</f>
        <v>758501.35145320825</v>
      </c>
      <c r="O10" s="116">
        <f>IF(O2&gt;=FirstYearIncome,(Assumptions!$E$27*Assumptions!$E$30*Assumptions!$E$33)*(1+Assumptions!$E$34)^(O2-FirstYearIncome),0)</f>
        <v>773671.37848227238</v>
      </c>
      <c r="P10" s="116">
        <f>IF(P2&gt;=FirstYearIncome,(Assumptions!$E$27*Assumptions!$E$30*Assumptions!$E$33)*(1+Assumptions!$E$34)^(P2-FirstYearIncome),0)</f>
        <v>789144.80605191772</v>
      </c>
      <c r="Q10" s="116">
        <f>IF(Q2&gt;=FirstYearIncome,(Assumptions!$E$27*Assumptions!$E$30*Assumptions!$E$33)*(1+Assumptions!$E$34)^(Q2-FirstYearIncome),0)</f>
        <v>804927.7021729562</v>
      </c>
      <c r="R10" s="117">
        <f>IF(R2&gt;=FirstYearIncome,(Assumptions!$E$27*Assumptions!$E$30*Assumptions!$E$33)*(1+Assumptions!$E$34)^(R2-FirstYearIncome),0)</f>
        <v>821026.25621641532</v>
      </c>
      <c r="S10" s="56"/>
      <c r="T10" s="56"/>
    </row>
    <row r="11" spans="1:26" ht="15.75" customHeight="1" x14ac:dyDescent="0.2">
      <c r="A11" s="111" t="str">
        <f>Assumptions!$G$26</f>
        <v>Parking Structure</v>
      </c>
      <c r="B11" s="118">
        <f>IF(B2&gt;=FirstYearIncome,(Assumptions!$H$33*Assumptions!$H$27*Assumptions!$H$28*Assumptions!$H$34)*(1+Assumptions!$H$35)^(B2-FirstYearIncome),0)</f>
        <v>0</v>
      </c>
      <c r="C11" s="118">
        <f>IF(C2&gt;=FirstYearIncome,(Assumptions!$H$33*Assumptions!$H$27*Assumptions!$H$28*Assumptions!$H$34)*(1+Assumptions!$H$35)^(C2-FirstYearIncome),0)</f>
        <v>0</v>
      </c>
      <c r="D11" s="118">
        <f>IF(D2&gt;=FirstYearIncome,(Assumptions!$H$33*Assumptions!$H$27*Assumptions!$H$28*Assumptions!$H$34)*(1+Assumptions!$H$35)^(D2-FirstYearIncome),0)</f>
        <v>0</v>
      </c>
      <c r="E11" s="118">
        <f>IF(E2&gt;=FirstYearIncome,(Assumptions!$H$33*Assumptions!$H$27*Assumptions!$H$28*Assumptions!$H$34)*(1+Assumptions!$H$35)^(E2-FirstYearIncome),0)</f>
        <v>2592000</v>
      </c>
      <c r="F11" s="118">
        <f>IF(F2&gt;=FirstYearIncome,(Assumptions!$H$33*Assumptions!$H$27*Assumptions!$H$28*Assumptions!$H$34)*(1+Assumptions!$H$35)^(F2-FirstYearIncome),0)</f>
        <v>2643840</v>
      </c>
      <c r="G11" s="118">
        <f>IF(G2&gt;=FirstYearIncome,(Assumptions!$H$33*Assumptions!$H$27*Assumptions!$H$28*Assumptions!$H$34)*(1+Assumptions!$H$35)^(G2-FirstYearIncome),0)</f>
        <v>2696716.8</v>
      </c>
      <c r="H11" s="118">
        <f>IF(H2&gt;=FirstYearIncome,(Assumptions!$H$33*Assumptions!$H$27*Assumptions!$H$28*Assumptions!$H$34)*(1+Assumptions!$H$35)^(H2-FirstYearIncome),0)</f>
        <v>2750651.1359999999</v>
      </c>
      <c r="I11" s="118">
        <f>IF(I2&gt;=FirstYearIncome,(Assumptions!$H$33*Assumptions!$H$27*Assumptions!$H$28*Assumptions!$H$34)*(1+Assumptions!$H$35)^(I2-FirstYearIncome),0)</f>
        <v>2805664.1587199997</v>
      </c>
      <c r="J11" s="118">
        <f>IF(J2&gt;=FirstYearIncome,(Assumptions!$H$33*Assumptions!$H$27*Assumptions!$H$28*Assumptions!$H$34)*(1+Assumptions!$H$35)^(J2-FirstYearIncome),0)</f>
        <v>2861777.4418943999</v>
      </c>
      <c r="K11" s="118">
        <f>IF(K2&gt;=FirstYearIncome,(Assumptions!$H$33*Assumptions!$H$27*Assumptions!$H$28*Assumptions!$H$34)*(1+Assumptions!$H$35)^(K2-FirstYearIncome),0)</f>
        <v>2919012.990732288</v>
      </c>
      <c r="L11" s="118">
        <f>IF(L2&gt;=FirstYearIncome,(Assumptions!$H$33*Assumptions!$H$27*Assumptions!$H$28*Assumptions!$H$34)*(1+Assumptions!$H$35)^(L2-FirstYearIncome),0)</f>
        <v>2977393.2505469332</v>
      </c>
      <c r="M11" s="118">
        <f>IF(M2&gt;=FirstYearIncome,(Assumptions!$H$33*Assumptions!$H$27*Assumptions!$H$28*Assumptions!$H$34)*(1+Assumptions!$H$35)^(M2-FirstYearIncome),0)</f>
        <v>3036941.1155578722</v>
      </c>
      <c r="N11" s="118">
        <f>IF(N2&gt;=FirstYearIncome,(Assumptions!$H$33*Assumptions!$H$27*Assumptions!$H$28*Assumptions!$H$34)*(1+Assumptions!$H$35)^(N2-FirstYearIncome),0)</f>
        <v>3097679.9378690296</v>
      </c>
      <c r="O11" s="118">
        <f>IF(O2&gt;=FirstYearIncome,(Assumptions!$H$33*Assumptions!$H$27*Assumptions!$H$28*Assumptions!$H$34)*(1+Assumptions!$H$35)^(O2-FirstYearIncome),0)</f>
        <v>3159633.5366264102</v>
      </c>
      <c r="P11" s="118">
        <f>IF(P2&gt;=FirstYearIncome,(Assumptions!$H$33*Assumptions!$H$27*Assumptions!$H$28*Assumptions!$H$34)*(1+Assumptions!$H$35)^(P2-FirstYearIncome),0)</f>
        <v>3222826.2073589382</v>
      </c>
      <c r="Q11" s="118">
        <f>IF(Q2&gt;=FirstYearIncome,(Assumptions!$H$33*Assumptions!$H$27*Assumptions!$H$28*Assumptions!$H$34)*(1+Assumptions!$H$35)^(Q2-FirstYearIncome),0)</f>
        <v>3287282.7315061172</v>
      </c>
      <c r="R11" s="119">
        <f>IF(R2&gt;=FirstYearIncome,(Assumptions!$H$33*Assumptions!$H$27*Assumptions!$H$28*Assumptions!$H$34)*(1+Assumptions!$H$35)^(R2-FirstYearIncome),0)</f>
        <v>3353028.3861362394</v>
      </c>
      <c r="S11" s="56"/>
      <c r="T11" s="56"/>
    </row>
    <row r="12" spans="1:26" ht="15.75" customHeight="1" x14ac:dyDescent="0.2">
      <c r="A12" s="110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7"/>
      <c r="S12" s="56"/>
      <c r="T12" s="56"/>
    </row>
    <row r="13" spans="1:26" ht="15.75" customHeight="1" x14ac:dyDescent="0.25">
      <c r="A13" s="109" t="s">
        <v>93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1"/>
      <c r="S13" s="53"/>
      <c r="T13" s="53"/>
      <c r="U13" s="54"/>
      <c r="V13" s="54"/>
      <c r="W13" s="54"/>
      <c r="X13" s="54"/>
      <c r="Y13" s="54"/>
      <c r="Z13" s="54"/>
    </row>
    <row r="14" spans="1:26" ht="15.75" customHeight="1" x14ac:dyDescent="0.2">
      <c r="A14" s="110" t="str">
        <f>Assumptions!$A$12</f>
        <v>Residential- 1 Bedroom</v>
      </c>
      <c r="B14" s="116">
        <f>IF(B2=FirstYearIncome,(B6*Assumptions!$B$20),('Pro Forma'!B6*Assumptions!$B$19))</f>
        <v>0</v>
      </c>
      <c r="C14" s="116">
        <f>IF(C2=FirstYearIncome,(C6*Assumptions!$B$20),('Pro Forma'!C6*Assumptions!$B$19))</f>
        <v>0</v>
      </c>
      <c r="D14" s="116">
        <f>IF(D2=FirstYearIncome,(D6*Assumptions!$B$20),('Pro Forma'!D6*Assumptions!$B$19))</f>
        <v>0</v>
      </c>
      <c r="E14" s="116">
        <f>IF(E2=FirstYearIncome,(E6*Assumptions!$B$20),('Pro Forma'!E6*Assumptions!$B$19))</f>
        <v>311040</v>
      </c>
      <c r="F14" s="116">
        <f>IF(F2=FirstYearIncome,(F6*Assumptions!$B$20),('Pro Forma'!F6*Assumptions!$B$19))</f>
        <v>245617.92000000001</v>
      </c>
      <c r="G14" s="116">
        <f>IF(G2=FirstYearIncome,(G6*Assumptions!$B$20),('Pro Forma'!G6*Assumptions!$B$19))</f>
        <v>252986.45759999999</v>
      </c>
      <c r="H14" s="116">
        <f>IF(H2=FirstYearIncome,(H6*Assumptions!$B$20),('Pro Forma'!H6*Assumptions!$B$19))</f>
        <v>260576.05132800003</v>
      </c>
      <c r="I14" s="116">
        <f>IF(I2=FirstYearIncome,(I6*Assumptions!$B$20),('Pro Forma'!I6*Assumptions!$B$19))</f>
        <v>268393.33286784001</v>
      </c>
      <c r="J14" s="116">
        <f>IF(J2=FirstYearIncome,(J6*Assumptions!$B$20),('Pro Forma'!J6*Assumptions!$B$19))</f>
        <v>276445.13285387517</v>
      </c>
      <c r="K14" s="116">
        <f>IF(K2=FirstYearIncome,(K6*Assumptions!$B$20),('Pro Forma'!K6*Assumptions!$B$19))</f>
        <v>284738.48683949147</v>
      </c>
      <c r="L14" s="116">
        <f>IF(L2=FirstYearIncome,(L6*Assumptions!$B$20),('Pro Forma'!L6*Assumptions!$B$19))</f>
        <v>293280.64144467621</v>
      </c>
      <c r="M14" s="116">
        <f>IF(M2=FirstYearIncome,(M6*Assumptions!$B$20),('Pro Forma'!M6*Assumptions!$B$19))</f>
        <v>302079.06068801647</v>
      </c>
      <c r="N14" s="116">
        <f>IF(N2=FirstYearIncome,(N6*Assumptions!$B$20),('Pro Forma'!N6*Assumptions!$B$19))</f>
        <v>311141.43250865699</v>
      </c>
      <c r="O14" s="116">
        <f>IF(O2=FirstYearIncome,(O6*Assumptions!$B$20),('Pro Forma'!O6*Assumptions!$B$19))</f>
        <v>320475.67548391671</v>
      </c>
      <c r="P14" s="116">
        <f>IF(P2=FirstYearIncome,(P6*Assumptions!$B$20),('Pro Forma'!P6*Assumptions!$B$19))</f>
        <v>330089.94574843417</v>
      </c>
      <c r="Q14" s="116">
        <f>IF(Q2=FirstYearIncome,(Q6*Assumptions!$B$20),('Pro Forma'!Q6*Assumptions!$B$19))</f>
        <v>339992.64412088715</v>
      </c>
      <c r="R14" s="117">
        <f>IF(R2=FirstYearIncome,(R6*Assumptions!$B$20),('Pro Forma'!R6*Assumptions!$B$19))</f>
        <v>350192.42344451376</v>
      </c>
      <c r="S14" s="56"/>
      <c r="T14" s="56"/>
    </row>
    <row r="15" spans="1:26" ht="15.75" customHeight="1" x14ac:dyDescent="0.2">
      <c r="A15" s="110" t="str">
        <f>Assumptions!$D$12</f>
        <v>Residential- 2 Bedroom</v>
      </c>
      <c r="B15" s="116">
        <f>IF(B2=FirstYearIncome,(B7*Assumptions!$E$20),('Pro Forma'!B7*Assumptions!$E$19))</f>
        <v>0</v>
      </c>
      <c r="C15" s="116">
        <f>IF(C2=FirstYearIncome,(C7*Assumptions!$E$20),('Pro Forma'!C7*Assumptions!$E$19))</f>
        <v>0</v>
      </c>
      <c r="D15" s="116">
        <f>IF(D2=FirstYearIncome,(D7*Assumptions!$E$20),('Pro Forma'!D7*Assumptions!$E$19))</f>
        <v>0</v>
      </c>
      <c r="E15" s="116">
        <f>IF(E2=FirstYearIncome,(E7*Assumptions!$E$20),('Pro Forma'!E7*Assumptions!$E$19))</f>
        <v>36982.439999999995</v>
      </c>
      <c r="F15" s="116">
        <f>IF(F2=FirstYearIncome,(F7*Assumptions!$E$20),('Pro Forma'!F7*Assumptions!$E$19))</f>
        <v>29203.80012</v>
      </c>
      <c r="G15" s="116">
        <f>IF(G2=FirstYearIncome,(G7*Assumptions!$E$20),('Pro Forma'!G7*Assumptions!$E$19))</f>
        <v>30079.914123599996</v>
      </c>
      <c r="H15" s="116">
        <f>IF(H2=FirstYearIncome,(H7*Assumptions!$E$20),('Pro Forma'!H7*Assumptions!$E$19))</f>
        <v>30982.311547308</v>
      </c>
      <c r="I15" s="116">
        <f>IF(I2=FirstYearIncome,(I7*Assumptions!$E$20),('Pro Forma'!I7*Assumptions!$E$19))</f>
        <v>31911.780893727235</v>
      </c>
      <c r="J15" s="116">
        <f>IF(J2=FirstYearIncome,(J7*Assumptions!$E$20),('Pro Forma'!J7*Assumptions!$E$19))</f>
        <v>32869.134320539051</v>
      </c>
      <c r="K15" s="116">
        <f>IF(K2=FirstYearIncome,(K7*Assumptions!$E$20),('Pro Forma'!K7*Assumptions!$E$19))</f>
        <v>33855.208350155226</v>
      </c>
      <c r="L15" s="116">
        <f>IF(L2=FirstYearIncome,(L7*Assumptions!$E$20),('Pro Forma'!L7*Assumptions!$E$19))</f>
        <v>34870.864600659886</v>
      </c>
      <c r="M15" s="116">
        <f>IF(M2=FirstYearIncome,(M7*Assumptions!$E$20),('Pro Forma'!M7*Assumptions!$E$19))</f>
        <v>35916.990538679675</v>
      </c>
      <c r="N15" s="116">
        <f>IF(N2=FirstYearIncome,(N7*Assumptions!$E$20),('Pro Forma'!N7*Assumptions!$E$19))</f>
        <v>36994.500254840073</v>
      </c>
      <c r="O15" s="116">
        <f>IF(O2=FirstYearIncome,(O7*Assumptions!$E$20),('Pro Forma'!O7*Assumptions!$E$19))</f>
        <v>38104.335262485271</v>
      </c>
      <c r="P15" s="116">
        <f>IF(P2=FirstYearIncome,(P7*Assumptions!$E$20),('Pro Forma'!P7*Assumptions!$E$19))</f>
        <v>39247.465320359828</v>
      </c>
      <c r="Q15" s="116">
        <f>IF(Q2=FirstYearIncome,(Q7*Assumptions!$E$20),('Pro Forma'!Q7*Assumptions!$E$19))</f>
        <v>40424.889279970623</v>
      </c>
      <c r="R15" s="117">
        <f>IF(R2=FirstYearIncome,(R7*Assumptions!$E$20),('Pro Forma'!R7*Assumptions!$E$19))</f>
        <v>41637.635958369734</v>
      </c>
      <c r="S15" s="56"/>
      <c r="T15" s="56"/>
    </row>
    <row r="16" spans="1:26" ht="15.75" customHeight="1" x14ac:dyDescent="0.2">
      <c r="A16" s="110" t="str">
        <f>Assumptions!$G$12</f>
        <v>Residential- 2 Bedroom (HUD)</v>
      </c>
      <c r="B16" s="116">
        <f>IF(B2=FirstYearIncome,(B8*Assumptions!$H$20),('Pro Forma'!B8*Assumptions!$H$19))</f>
        <v>0</v>
      </c>
      <c r="C16" s="116">
        <f>IF(C2=FirstYearIncome,(C8*Assumptions!$H$20),('Pro Forma'!C8*Assumptions!$H$19))</f>
        <v>0</v>
      </c>
      <c r="D16" s="116">
        <f>IF(D2=FirstYearIncome,(D8*Assumptions!$H$20),('Pro Forma'!D8*Assumptions!$H$19))</f>
        <v>0</v>
      </c>
      <c r="E16" s="116">
        <f>IF(E2=FirstYearIncome,(E8*Assumptions!$H$20),('Pro Forma'!E8*Assumptions!$H$19))</f>
        <v>0</v>
      </c>
      <c r="F16" s="116">
        <f>IF(F2=FirstYearIncome,(F8*Assumptions!$H$20),('Pro Forma'!F8*Assumptions!$H$19))</f>
        <v>0</v>
      </c>
      <c r="G16" s="116">
        <f>IF(G2=FirstYearIncome,(G8*Assumptions!$H$20),('Pro Forma'!G8*Assumptions!$H$19))</f>
        <v>0</v>
      </c>
      <c r="H16" s="116">
        <f>IF(H2=FirstYearIncome,(H8*Assumptions!$H$20),('Pro Forma'!H8*Assumptions!$H$19))</f>
        <v>0</v>
      </c>
      <c r="I16" s="116">
        <f>IF(I2=FirstYearIncome,(I8*Assumptions!$H$20),('Pro Forma'!I8*Assumptions!$H$19))</f>
        <v>0</v>
      </c>
      <c r="J16" s="116">
        <f>IF(J2=FirstYearIncome,(J8*Assumptions!$H$20),('Pro Forma'!J8*Assumptions!$H$19))</f>
        <v>0</v>
      </c>
      <c r="K16" s="116">
        <f>IF(K2=FirstYearIncome,(K8*Assumptions!$H$20),('Pro Forma'!K8*Assumptions!$H$19))</f>
        <v>0</v>
      </c>
      <c r="L16" s="116">
        <f>IF(L2=FirstYearIncome,(L8*Assumptions!$H$20),('Pro Forma'!L8*Assumptions!$H$19))</f>
        <v>0</v>
      </c>
      <c r="M16" s="116">
        <f>IF(M2=FirstYearIncome,(M8*Assumptions!$H$20),('Pro Forma'!M8*Assumptions!$H$19))</f>
        <v>0</v>
      </c>
      <c r="N16" s="116">
        <f>IF(N2=FirstYearIncome,(N8*Assumptions!$H$20),('Pro Forma'!N8*Assumptions!$H$19))</f>
        <v>0</v>
      </c>
      <c r="O16" s="116">
        <f>IF(O2=FirstYearIncome,(O8*Assumptions!$H$20),('Pro Forma'!O8*Assumptions!$H$19))</f>
        <v>0</v>
      </c>
      <c r="P16" s="116">
        <f>IF(P2=FirstYearIncome,(P8*Assumptions!$H$20),('Pro Forma'!P8*Assumptions!$H$19))</f>
        <v>0</v>
      </c>
      <c r="Q16" s="116">
        <f>IF(Q2=FirstYearIncome,(Q8*Assumptions!$H$20),('Pro Forma'!Q8*Assumptions!$H$19))</f>
        <v>0</v>
      </c>
      <c r="R16" s="117">
        <f>IF(R2=FirstYearIncome,(R8*Assumptions!$H$20),('Pro Forma'!R8*Assumptions!$H$19))</f>
        <v>0</v>
      </c>
      <c r="S16" s="56"/>
      <c r="T16" s="56"/>
    </row>
    <row r="17" spans="1:26" ht="15.75" customHeight="1" x14ac:dyDescent="0.2">
      <c r="A17" s="110" t="str">
        <f>Assumptions!$A$26</f>
        <v>Commercial- Grocery Store</v>
      </c>
      <c r="B17" s="116">
        <f>(B9*Assumptions!$B$32)</f>
        <v>0</v>
      </c>
      <c r="C17" s="116">
        <f>(C9*Assumptions!$B$32)</f>
        <v>0</v>
      </c>
      <c r="D17" s="116">
        <f>(D9*Assumptions!$B$32)</f>
        <v>0</v>
      </c>
      <c r="E17" s="116">
        <f>(E9*Assumptions!$B$32)</f>
        <v>42724.800000000003</v>
      </c>
      <c r="F17" s="116">
        <f>(F9*Assumptions!$B$32)</f>
        <v>43579.296000000002</v>
      </c>
      <c r="G17" s="116">
        <f>(G9*Assumptions!$B$32)</f>
        <v>44450.88192</v>
      </c>
      <c r="H17" s="116">
        <f>(H9*Assumptions!$B$32)</f>
        <v>45339.8995584</v>
      </c>
      <c r="I17" s="116">
        <f>(I9*Assumptions!$B$32)</f>
        <v>46246.697549568002</v>
      </c>
      <c r="J17" s="116">
        <f>(J9*Assumptions!$B$32)</f>
        <v>47171.631500559357</v>
      </c>
      <c r="K17" s="116">
        <f>(K9*Assumptions!$B$32)</f>
        <v>48115.06413057055</v>
      </c>
      <c r="L17" s="116">
        <f>(L9*Assumptions!$B$32)</f>
        <v>49077.365413181949</v>
      </c>
      <c r="M17" s="116">
        <f>(M9*Assumptions!$B$32)</f>
        <v>50058.912721445595</v>
      </c>
      <c r="N17" s="116">
        <f>(N9*Assumptions!$B$32)</f>
        <v>51060.090975874504</v>
      </c>
      <c r="O17" s="116">
        <f>(O9*Assumptions!$B$32)</f>
        <v>52081.292795391993</v>
      </c>
      <c r="P17" s="116">
        <f>(P9*Assumptions!$B$32)</f>
        <v>53122.918651299828</v>
      </c>
      <c r="Q17" s="116">
        <f>(Q9*Assumptions!$B$32)</f>
        <v>54185.377024325833</v>
      </c>
      <c r="R17" s="117">
        <f>(R9*Assumptions!$B$32)</f>
        <v>55269.084564812343</v>
      </c>
      <c r="S17" s="56"/>
      <c r="T17" s="56"/>
    </row>
    <row r="18" spans="1:26" ht="15.75" customHeight="1" x14ac:dyDescent="0.2">
      <c r="A18" s="110" t="str">
        <f>Assumptions!$D$26</f>
        <v>Commercial- Recreational Center</v>
      </c>
      <c r="B18" s="116">
        <f>(B10*Assumptions!$E$32)</f>
        <v>0</v>
      </c>
      <c r="C18" s="116">
        <f>(C10*Assumptions!$E$32)</f>
        <v>0</v>
      </c>
      <c r="D18" s="116">
        <f>(D10*Assumptions!$E$32)</f>
        <v>0</v>
      </c>
      <c r="E18" s="116">
        <f>(E10*Assumptions!$E$32)</f>
        <v>62769.851999999999</v>
      </c>
      <c r="F18" s="116">
        <f>(F10*Assumptions!$E$32)</f>
        <v>64025.249040000002</v>
      </c>
      <c r="G18" s="116">
        <f>(G10*Assumptions!$E$32)</f>
        <v>65305.754020800006</v>
      </c>
      <c r="H18" s="116">
        <f>(H10*Assumptions!$E$32)</f>
        <v>66611.869101215998</v>
      </c>
      <c r="I18" s="116">
        <f>(I10*Assumptions!$E$32)</f>
        <v>67944.106483240321</v>
      </c>
      <c r="J18" s="116">
        <f>(J10*Assumptions!$E$32)</f>
        <v>69302.98861290513</v>
      </c>
      <c r="K18" s="116">
        <f>(K10*Assumptions!$E$32)</f>
        <v>70689.048385163231</v>
      </c>
      <c r="L18" s="116">
        <f>(L10*Assumptions!$E$32)</f>
        <v>72102.82935286648</v>
      </c>
      <c r="M18" s="116">
        <f>(M10*Assumptions!$E$32)</f>
        <v>73544.885939923814</v>
      </c>
      <c r="N18" s="116">
        <f>(N10*Assumptions!$E$32)</f>
        <v>75015.783658722299</v>
      </c>
      <c r="O18" s="116">
        <f>(O10*Assumptions!$E$32)</f>
        <v>76516.099331896738</v>
      </c>
      <c r="P18" s="116">
        <f>(P10*Assumptions!$E$32)</f>
        <v>78046.42131853466</v>
      </c>
      <c r="Q18" s="116">
        <f>(Q10*Assumptions!$E$32)</f>
        <v>79607.349744905368</v>
      </c>
      <c r="R18" s="117">
        <f>(R10*Assumptions!$E$32)</f>
        <v>81199.496739803479</v>
      </c>
      <c r="S18" s="56"/>
      <c r="T18" s="56"/>
    </row>
    <row r="19" spans="1:26" ht="15.75" customHeight="1" x14ac:dyDescent="0.2">
      <c r="A19" s="111" t="str">
        <f>Assumptions!$G$26</f>
        <v>Parking Structure</v>
      </c>
      <c r="B19" s="118">
        <f>(B11*Assumptions!$H$36)</f>
        <v>0</v>
      </c>
      <c r="C19" s="118">
        <f>(C11*Assumptions!$H$36)</f>
        <v>0</v>
      </c>
      <c r="D19" s="118">
        <f>(D11*Assumptions!$H$36)</f>
        <v>0</v>
      </c>
      <c r="E19" s="118">
        <f>(E11*Assumptions!$H$36)</f>
        <v>388800</v>
      </c>
      <c r="F19" s="118">
        <f>(F11*Assumptions!$H$36)</f>
        <v>396576</v>
      </c>
      <c r="G19" s="118">
        <f>(G11*Assumptions!$H$36)</f>
        <v>404507.51999999996</v>
      </c>
      <c r="H19" s="118">
        <f>(H11*Assumptions!$H$36)</f>
        <v>412597.6704</v>
      </c>
      <c r="I19" s="118">
        <f>(I11*Assumptions!$H$36)</f>
        <v>420849.62380799995</v>
      </c>
      <c r="J19" s="118">
        <f>(J11*Assumptions!$H$36)</f>
        <v>429266.61628416</v>
      </c>
      <c r="K19" s="118">
        <f>(K11*Assumptions!$H$36)</f>
        <v>437851.94860984321</v>
      </c>
      <c r="L19" s="118">
        <f>(L11*Assumptions!$H$36)</f>
        <v>446608.98758203996</v>
      </c>
      <c r="M19" s="118">
        <f>(M11*Assumptions!$H$36)</f>
        <v>455541.16733368085</v>
      </c>
      <c r="N19" s="118">
        <f>(N11*Assumptions!$H$36)</f>
        <v>464651.99068035441</v>
      </c>
      <c r="O19" s="118">
        <f>(O11*Assumptions!$H$36)</f>
        <v>473945.03049396153</v>
      </c>
      <c r="P19" s="118">
        <f>(P11*Assumptions!$H$36)</f>
        <v>483423.9311038407</v>
      </c>
      <c r="Q19" s="118">
        <f>(Q11*Assumptions!$H$36)</f>
        <v>493092.40972591756</v>
      </c>
      <c r="R19" s="119">
        <f>(R11*Assumptions!$H$36)</f>
        <v>502954.25792043586</v>
      </c>
      <c r="S19" s="56"/>
      <c r="T19" s="56"/>
    </row>
    <row r="20" spans="1:26" ht="15.75" customHeight="1" x14ac:dyDescent="0.25">
      <c r="A20" s="108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3"/>
      <c r="O20" s="123"/>
      <c r="P20" s="123"/>
      <c r="Q20" s="123"/>
      <c r="R20" s="124"/>
      <c r="S20" s="53"/>
      <c r="T20" s="53"/>
      <c r="U20" s="54"/>
      <c r="V20" s="54"/>
      <c r="W20" s="54"/>
      <c r="X20" s="54"/>
      <c r="Y20" s="54"/>
      <c r="Z20" s="54"/>
    </row>
    <row r="21" spans="1:26" ht="15.75" customHeight="1" x14ac:dyDescent="0.25">
      <c r="A21" s="109" t="s">
        <v>94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1"/>
      <c r="S21" s="53"/>
      <c r="T21" s="53"/>
      <c r="U21" s="54"/>
      <c r="V21" s="54"/>
      <c r="W21" s="54"/>
      <c r="X21" s="54"/>
      <c r="Y21" s="54"/>
      <c r="Z21" s="54"/>
    </row>
    <row r="22" spans="1:26" ht="15.75" customHeight="1" x14ac:dyDescent="0.2">
      <c r="A22" s="110" t="str">
        <f>Assumptions!$A$12</f>
        <v>Residential- 1 Bedroom</v>
      </c>
      <c r="B22" s="116">
        <f t="shared" ref="B22:M22" si="6">B6-B14</f>
        <v>0</v>
      </c>
      <c r="C22" s="116">
        <f t="shared" si="6"/>
        <v>0</v>
      </c>
      <c r="D22" s="116">
        <f t="shared" si="6"/>
        <v>0</v>
      </c>
      <c r="E22" s="116">
        <f t="shared" si="6"/>
        <v>3836160</v>
      </c>
      <c r="F22" s="116">
        <f t="shared" si="6"/>
        <v>4025998.08</v>
      </c>
      <c r="G22" s="116">
        <f t="shared" si="6"/>
        <v>4146778.0223999997</v>
      </c>
      <c r="H22" s="116">
        <f t="shared" si="6"/>
        <v>4271181.3630720004</v>
      </c>
      <c r="I22" s="116">
        <f t="shared" si="6"/>
        <v>4399316.8039641595</v>
      </c>
      <c r="J22" s="116">
        <f t="shared" si="6"/>
        <v>4531296.3080830844</v>
      </c>
      <c r="K22" s="116">
        <f t="shared" si="6"/>
        <v>4667235.197325577</v>
      </c>
      <c r="L22" s="116">
        <f t="shared" si="6"/>
        <v>4807252.2532453444</v>
      </c>
      <c r="M22" s="116">
        <f t="shared" si="6"/>
        <v>4951469.8208427038</v>
      </c>
      <c r="N22" s="116">
        <f t="shared" ref="N22:R22" si="7">N6-N14</f>
        <v>5100013.9154679859</v>
      </c>
      <c r="O22" s="116">
        <f t="shared" si="7"/>
        <v>5253014.3329320252</v>
      </c>
      <c r="P22" s="116">
        <f t="shared" si="7"/>
        <v>5410604.7629199857</v>
      </c>
      <c r="Q22" s="116">
        <f t="shared" si="7"/>
        <v>5572922.9058075855</v>
      </c>
      <c r="R22" s="117">
        <f t="shared" si="7"/>
        <v>5740110.5929818116</v>
      </c>
      <c r="S22" s="56"/>
      <c r="T22" s="56"/>
    </row>
    <row r="23" spans="1:26" ht="15.75" customHeight="1" x14ac:dyDescent="0.2">
      <c r="A23" s="110" t="str">
        <f>Assumptions!$D$12</f>
        <v>Residential- 2 Bedroom</v>
      </c>
      <c r="B23" s="116">
        <f t="shared" ref="B23:M23" si="8">B7-B15</f>
        <v>0</v>
      </c>
      <c r="C23" s="116">
        <f t="shared" si="8"/>
        <v>0</v>
      </c>
      <c r="D23" s="116">
        <f t="shared" si="8"/>
        <v>0</v>
      </c>
      <c r="E23" s="116">
        <f t="shared" si="8"/>
        <v>456116.75999999995</v>
      </c>
      <c r="F23" s="116">
        <f t="shared" si="8"/>
        <v>478688.37587999995</v>
      </c>
      <c r="G23" s="116">
        <f t="shared" si="8"/>
        <v>493049.02715639991</v>
      </c>
      <c r="H23" s="116">
        <f t="shared" si="8"/>
        <v>507840.497971092</v>
      </c>
      <c r="I23" s="116">
        <f t="shared" si="8"/>
        <v>523075.71291022468</v>
      </c>
      <c r="J23" s="116">
        <f t="shared" si="8"/>
        <v>538767.98429753131</v>
      </c>
      <c r="K23" s="116">
        <f t="shared" si="8"/>
        <v>554931.02382645733</v>
      </c>
      <c r="L23" s="116">
        <f t="shared" si="8"/>
        <v>571578.95454125106</v>
      </c>
      <c r="M23" s="116">
        <f t="shared" si="8"/>
        <v>588726.32317748864</v>
      </c>
      <c r="N23" s="116">
        <f t="shared" ref="N23:R23" si="9">N7-N15</f>
        <v>606388.11287281325</v>
      </c>
      <c r="O23" s="116">
        <f t="shared" si="9"/>
        <v>624579.7562589976</v>
      </c>
      <c r="P23" s="116">
        <f t="shared" si="9"/>
        <v>643317.14894676767</v>
      </c>
      <c r="Q23" s="116">
        <f t="shared" si="9"/>
        <v>662616.66341517051</v>
      </c>
      <c r="R23" s="117">
        <f t="shared" si="9"/>
        <v>682495.16331762564</v>
      </c>
      <c r="S23" s="56"/>
      <c r="T23" s="56"/>
    </row>
    <row r="24" spans="1:26" ht="15.75" customHeight="1" x14ac:dyDescent="0.2">
      <c r="A24" s="110" t="str">
        <f>Assumptions!$G$12</f>
        <v>Residential- 2 Bedroom (HUD)</v>
      </c>
      <c r="B24" s="116">
        <f t="shared" ref="B24:M24" si="10">B8-B16</f>
        <v>0</v>
      </c>
      <c r="C24" s="116">
        <f t="shared" si="10"/>
        <v>0</v>
      </c>
      <c r="D24" s="116">
        <f t="shared" si="10"/>
        <v>0</v>
      </c>
      <c r="E24" s="116">
        <f t="shared" si="10"/>
        <v>1643664</v>
      </c>
      <c r="F24" s="116">
        <f t="shared" si="10"/>
        <v>1692973.9200000002</v>
      </c>
      <c r="G24" s="116">
        <f t="shared" si="10"/>
        <v>1743763.1376</v>
      </c>
      <c r="H24" s="116">
        <f t="shared" si="10"/>
        <v>1796076.0317279999</v>
      </c>
      <c r="I24" s="116">
        <f t="shared" si="10"/>
        <v>1849958.3126798398</v>
      </c>
      <c r="J24" s="116">
        <f t="shared" si="10"/>
        <v>1905457.0620602348</v>
      </c>
      <c r="K24" s="116">
        <f t="shared" si="10"/>
        <v>1962620.7739220422</v>
      </c>
      <c r="L24" s="116">
        <f t="shared" si="10"/>
        <v>2021499.3971397034</v>
      </c>
      <c r="M24" s="116">
        <f t="shared" si="10"/>
        <v>2082144.3790538944</v>
      </c>
      <c r="N24" s="116">
        <f t="shared" ref="N24:R24" si="11">N8-N16</f>
        <v>2144608.7104255115</v>
      </c>
      <c r="O24" s="116">
        <f t="shared" si="11"/>
        <v>2208946.9717382765</v>
      </c>
      <c r="P24" s="116">
        <f t="shared" si="11"/>
        <v>2275215.3808904248</v>
      </c>
      <c r="Q24" s="116">
        <f t="shared" si="11"/>
        <v>2343471.8423171374</v>
      </c>
      <c r="R24" s="117">
        <f t="shared" si="11"/>
        <v>2413775.9975866512</v>
      </c>
      <c r="S24" s="56"/>
      <c r="T24" s="56"/>
    </row>
    <row r="25" spans="1:26" ht="15.75" customHeight="1" x14ac:dyDescent="0.2">
      <c r="A25" s="110" t="str">
        <f>Assumptions!$A$26</f>
        <v>Commercial- Grocery Store</v>
      </c>
      <c r="B25" s="116">
        <f t="shared" ref="B25:M25" si="12">B9-B17</f>
        <v>0</v>
      </c>
      <c r="C25" s="116">
        <f t="shared" si="12"/>
        <v>0</v>
      </c>
      <c r="D25" s="116">
        <f t="shared" si="12"/>
        <v>0</v>
      </c>
      <c r="E25" s="116">
        <f t="shared" si="12"/>
        <v>389275.2</v>
      </c>
      <c r="F25" s="116">
        <f t="shared" si="12"/>
        <v>397060.70400000003</v>
      </c>
      <c r="G25" s="116">
        <f t="shared" si="12"/>
        <v>405001.91807999997</v>
      </c>
      <c r="H25" s="116">
        <f t="shared" si="12"/>
        <v>413101.95644159999</v>
      </c>
      <c r="I25" s="116">
        <f t="shared" si="12"/>
        <v>421363.99557043199</v>
      </c>
      <c r="J25" s="116">
        <f t="shared" si="12"/>
        <v>429791.27548184065</v>
      </c>
      <c r="K25" s="116">
        <f t="shared" si="12"/>
        <v>438387.10099147749</v>
      </c>
      <c r="L25" s="116">
        <f t="shared" si="12"/>
        <v>447154.84301130695</v>
      </c>
      <c r="M25" s="116">
        <f t="shared" si="12"/>
        <v>456097.93987153308</v>
      </c>
      <c r="N25" s="116">
        <f t="shared" ref="N25:R25" si="13">N9-N17</f>
        <v>465219.89866896375</v>
      </c>
      <c r="O25" s="116">
        <f t="shared" si="13"/>
        <v>474524.29664234305</v>
      </c>
      <c r="P25" s="116">
        <f t="shared" si="13"/>
        <v>484014.78257518978</v>
      </c>
      <c r="Q25" s="116">
        <f t="shared" si="13"/>
        <v>493695.07822669373</v>
      </c>
      <c r="R25" s="117">
        <f t="shared" si="13"/>
        <v>503568.9797912275</v>
      </c>
      <c r="S25" s="56"/>
      <c r="T25" s="56"/>
    </row>
    <row r="26" spans="1:26" ht="15.75" customHeight="1" x14ac:dyDescent="0.2">
      <c r="A26" s="110" t="str">
        <f>Assumptions!$D$26</f>
        <v>Commercial- Recreational Center</v>
      </c>
      <c r="B26" s="116">
        <f t="shared" ref="B26:M26" si="14">B10-B18</f>
        <v>0</v>
      </c>
      <c r="C26" s="116">
        <f t="shared" si="14"/>
        <v>0</v>
      </c>
      <c r="D26" s="116">
        <f t="shared" si="14"/>
        <v>0</v>
      </c>
      <c r="E26" s="116">
        <f t="shared" si="14"/>
        <v>571910.14800000004</v>
      </c>
      <c r="F26" s="116">
        <f t="shared" si="14"/>
        <v>583348.35095999995</v>
      </c>
      <c r="G26" s="116">
        <f t="shared" si="14"/>
        <v>595015.31797920004</v>
      </c>
      <c r="H26" s="116">
        <f t="shared" si="14"/>
        <v>606915.62433878402</v>
      </c>
      <c r="I26" s="116">
        <f t="shared" si="14"/>
        <v>619053.93682555971</v>
      </c>
      <c r="J26" s="116">
        <f t="shared" si="14"/>
        <v>631435.01556207088</v>
      </c>
      <c r="K26" s="116">
        <f t="shared" si="14"/>
        <v>644063.71587331232</v>
      </c>
      <c r="L26" s="116">
        <f t="shared" si="14"/>
        <v>656944.99019077839</v>
      </c>
      <c r="M26" s="116">
        <f t="shared" si="14"/>
        <v>670083.88999459404</v>
      </c>
      <c r="N26" s="116">
        <f t="shared" ref="N26:R26" si="15">N10-N18</f>
        <v>683485.56779448595</v>
      </c>
      <c r="O26" s="116">
        <f t="shared" si="15"/>
        <v>697155.27915037563</v>
      </c>
      <c r="P26" s="116">
        <f t="shared" si="15"/>
        <v>711098.38473338308</v>
      </c>
      <c r="Q26" s="116">
        <f t="shared" si="15"/>
        <v>725320.35242805083</v>
      </c>
      <c r="R26" s="117">
        <f t="shared" si="15"/>
        <v>739826.75947661186</v>
      </c>
      <c r="S26" s="56"/>
      <c r="T26" s="56"/>
    </row>
    <row r="27" spans="1:26" ht="15.75" customHeight="1" x14ac:dyDescent="0.2">
      <c r="A27" s="111" t="str">
        <f>Assumptions!$G$26</f>
        <v>Parking Structure</v>
      </c>
      <c r="B27" s="118">
        <f t="shared" ref="B27:M27" si="16">B11-B19</f>
        <v>0</v>
      </c>
      <c r="C27" s="118">
        <f t="shared" si="16"/>
        <v>0</v>
      </c>
      <c r="D27" s="118">
        <f t="shared" si="16"/>
        <v>0</v>
      </c>
      <c r="E27" s="118">
        <f t="shared" si="16"/>
        <v>2203200</v>
      </c>
      <c r="F27" s="118">
        <f t="shared" si="16"/>
        <v>2247264</v>
      </c>
      <c r="G27" s="118">
        <f t="shared" si="16"/>
        <v>2292209.2799999998</v>
      </c>
      <c r="H27" s="118">
        <f t="shared" si="16"/>
        <v>2338053.4655999998</v>
      </c>
      <c r="I27" s="118">
        <f t="shared" si="16"/>
        <v>2384814.5349119999</v>
      </c>
      <c r="J27" s="118">
        <f t="shared" si="16"/>
        <v>2432510.82561024</v>
      </c>
      <c r="K27" s="118">
        <f t="shared" si="16"/>
        <v>2481161.0421224446</v>
      </c>
      <c r="L27" s="118">
        <f t="shared" si="16"/>
        <v>2530784.2629648931</v>
      </c>
      <c r="M27" s="118">
        <f t="shared" si="16"/>
        <v>2581399.9482241916</v>
      </c>
      <c r="N27" s="118">
        <f t="shared" ref="N27:R27" si="17">N11-N19</f>
        <v>2633027.9471886754</v>
      </c>
      <c r="O27" s="118">
        <f t="shared" si="17"/>
        <v>2685688.5061324486</v>
      </c>
      <c r="P27" s="118">
        <f t="shared" si="17"/>
        <v>2739402.2762550972</v>
      </c>
      <c r="Q27" s="118">
        <f t="shared" si="17"/>
        <v>2794190.3217801997</v>
      </c>
      <c r="R27" s="119">
        <f t="shared" si="17"/>
        <v>2850074.1282158038</v>
      </c>
      <c r="S27" s="56"/>
      <c r="T27" s="56"/>
    </row>
    <row r="28" spans="1:26" ht="15.75" customHeight="1" x14ac:dyDescent="0.2">
      <c r="A28" s="110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7"/>
      <c r="S28" s="56"/>
      <c r="T28" s="56"/>
    </row>
    <row r="29" spans="1:26" ht="15.75" customHeight="1" x14ac:dyDescent="0.25">
      <c r="A29" s="109" t="s">
        <v>95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1"/>
      <c r="S29" s="53"/>
      <c r="T29" s="53"/>
      <c r="U29" s="54"/>
      <c r="V29" s="54"/>
      <c r="W29" s="54"/>
      <c r="X29" s="54"/>
      <c r="Y29" s="54"/>
      <c r="Z29" s="54"/>
    </row>
    <row r="30" spans="1:26" ht="15.75" customHeight="1" x14ac:dyDescent="0.2">
      <c r="A30" s="110" t="s">
        <v>96</v>
      </c>
      <c r="B30" s="116">
        <f>IF(B2&gt;=FirstYearIncome,Assumptions!$B$49,0)</f>
        <v>0</v>
      </c>
      <c r="C30" s="116">
        <f>IF(C2&gt;=FirstYearIncome,Assumptions!$B$49,0)</f>
        <v>0</v>
      </c>
      <c r="D30" s="116">
        <f>IF(D2&gt;=FirstYearIncome,Assumptions!$B$49,0)</f>
        <v>0</v>
      </c>
      <c r="E30" s="116">
        <f>IF(E2&gt;=FirstYearIncome,Assumptions!$B$49,0)</f>
        <v>941220</v>
      </c>
      <c r="F30" s="116">
        <f>IF(F2&gt;=FirstYearIncome,Assumptions!$B$49,0)</f>
        <v>941220</v>
      </c>
      <c r="G30" s="116">
        <f>IF(G2&gt;=FirstYearIncome,Assumptions!$B$49,0)</f>
        <v>941220</v>
      </c>
      <c r="H30" s="116">
        <f>IF(H2&gt;=FirstYearIncome,Assumptions!$B$49,0)</f>
        <v>941220</v>
      </c>
      <c r="I30" s="116">
        <f>IF(I2&gt;=FirstYearIncome,Assumptions!$B$49,0)</f>
        <v>941220</v>
      </c>
      <c r="J30" s="116">
        <f>IF(J2&gt;=FirstYearIncome,Assumptions!$B$49,0)</f>
        <v>941220</v>
      </c>
      <c r="K30" s="116">
        <f>IF(K2&gt;=FirstYearIncome,Assumptions!$B$49,0)</f>
        <v>941220</v>
      </c>
      <c r="L30" s="116">
        <f>IF(L2&gt;=FirstYearIncome,Assumptions!$B$49,0)</f>
        <v>941220</v>
      </c>
      <c r="M30" s="116">
        <f>IF(M2&gt;=FirstYearIncome,Assumptions!$B$49,0)</f>
        <v>941220</v>
      </c>
      <c r="N30" s="116">
        <f>IF(N2&gt;=FirstYearIncome,Assumptions!$B$49,0)</f>
        <v>941220</v>
      </c>
      <c r="O30" s="116">
        <f>IF(O2&gt;=FirstYearIncome,Assumptions!$B$49,0)</f>
        <v>941220</v>
      </c>
      <c r="P30" s="116">
        <f>IF(P2&gt;=FirstYearIncome,Assumptions!$B$49,0)</f>
        <v>941220</v>
      </c>
      <c r="Q30" s="116">
        <f>IF(Q2&gt;=FirstYearIncome,Assumptions!$B$49,0)</f>
        <v>941220</v>
      </c>
      <c r="R30" s="117">
        <f>IF(R2&gt;=FirstYearIncome,Assumptions!$B$49,0)</f>
        <v>941220</v>
      </c>
      <c r="S30" s="56"/>
      <c r="T30" s="56"/>
    </row>
    <row r="31" spans="1:26" ht="15.75" customHeight="1" x14ac:dyDescent="0.2">
      <c r="A31" s="111" t="s">
        <v>97</v>
      </c>
      <c r="B31" s="118">
        <f>IF(B2&gt;=FirstYearIncome,Assumptions!$B$51,0)</f>
        <v>0</v>
      </c>
      <c r="C31" s="118">
        <f>IF(C2&gt;=FirstYearIncome,Assumptions!$B$51,0)</f>
        <v>0</v>
      </c>
      <c r="D31" s="118">
        <f>IF(D2&gt;=FirstYearIncome,Assumptions!$B$51,0)</f>
        <v>0</v>
      </c>
      <c r="E31" s="118">
        <f>IF(E2&gt;=FirstYearIncome,Assumptions!$B$51,0)</f>
        <v>81056.25</v>
      </c>
      <c r="F31" s="118">
        <f>IF(F2&gt;=FirstYearIncome,Assumptions!$B$51,0)</f>
        <v>81056.25</v>
      </c>
      <c r="G31" s="118">
        <f>IF(G2&gt;=FirstYearIncome,Assumptions!$B$51,0)</f>
        <v>81056.25</v>
      </c>
      <c r="H31" s="118">
        <f>IF(H2&gt;=FirstYearIncome,Assumptions!$B$51,0)</f>
        <v>81056.25</v>
      </c>
      <c r="I31" s="118">
        <f>IF(I2&gt;=FirstYearIncome,Assumptions!$B$51,0)</f>
        <v>81056.25</v>
      </c>
      <c r="J31" s="118">
        <f>IF(J2&gt;=FirstYearIncome,Assumptions!$B$51,0)</f>
        <v>81056.25</v>
      </c>
      <c r="K31" s="118">
        <f>IF(K2&gt;=FirstYearIncome,Assumptions!$B$51,0)</f>
        <v>81056.25</v>
      </c>
      <c r="L31" s="118">
        <f>IF(L2&gt;=FirstYearIncome,Assumptions!$B$51,0)</f>
        <v>81056.25</v>
      </c>
      <c r="M31" s="118">
        <f>IF(M2&gt;=FirstYearIncome,Assumptions!$B$51,0)</f>
        <v>81056.25</v>
      </c>
      <c r="N31" s="118">
        <f>IF(N2&gt;=FirstYearIncome,Assumptions!$B$51,0)</f>
        <v>81056.25</v>
      </c>
      <c r="O31" s="118">
        <f>IF(O2&gt;=FirstYearIncome,Assumptions!$B$51,0)</f>
        <v>81056.25</v>
      </c>
      <c r="P31" s="118">
        <f>IF(P2&gt;=FirstYearIncome,Assumptions!$B$51,0)</f>
        <v>81056.25</v>
      </c>
      <c r="Q31" s="118">
        <f>IF(Q2&gt;=FirstYearIncome,Assumptions!$B$51,0)</f>
        <v>81056.25</v>
      </c>
      <c r="R31" s="119">
        <f>IF(R2&gt;=FirstYearIncome,Assumptions!$B$51,0)</f>
        <v>81056.25</v>
      </c>
      <c r="S31" s="56"/>
      <c r="T31" s="56"/>
    </row>
    <row r="32" spans="1:26" ht="15.75" customHeight="1" x14ac:dyDescent="0.2">
      <c r="A32" s="112" t="s">
        <v>98</v>
      </c>
      <c r="B32" s="125">
        <f t="shared" ref="B32:M32" si="18">SUM(B22:B31)</f>
        <v>0</v>
      </c>
      <c r="C32" s="125">
        <f t="shared" si="18"/>
        <v>0</v>
      </c>
      <c r="D32" s="125">
        <f t="shared" si="18"/>
        <v>0</v>
      </c>
      <c r="E32" s="125">
        <f t="shared" si="18"/>
        <v>10122602.357999999</v>
      </c>
      <c r="F32" s="125">
        <f t="shared" si="18"/>
        <v>10447609.680840001</v>
      </c>
      <c r="G32" s="125">
        <f t="shared" si="18"/>
        <v>10698092.953215599</v>
      </c>
      <c r="H32" s="125">
        <f t="shared" si="18"/>
        <v>10955445.189151477</v>
      </c>
      <c r="I32" s="125">
        <f t="shared" si="18"/>
        <v>11219859.546862217</v>
      </c>
      <c r="J32" s="125">
        <f t="shared" si="18"/>
        <v>11491534.721095003</v>
      </c>
      <c r="K32" s="125">
        <f t="shared" si="18"/>
        <v>11770675.104061311</v>
      </c>
      <c r="L32" s="125">
        <f t="shared" si="18"/>
        <v>12057490.951093277</v>
      </c>
      <c r="M32" s="125">
        <f t="shared" si="18"/>
        <v>12352198.551164404</v>
      </c>
      <c r="N32" s="125">
        <f t="shared" ref="N32:R32" si="19">SUM(N22:N31)</f>
        <v>12655020.402418435</v>
      </c>
      <c r="O32" s="125">
        <f t="shared" si="19"/>
        <v>12966185.392854467</v>
      </c>
      <c r="P32" s="125">
        <f t="shared" si="19"/>
        <v>13285928.986320848</v>
      </c>
      <c r="Q32" s="125">
        <f t="shared" si="19"/>
        <v>13614493.413974836</v>
      </c>
      <c r="R32" s="126">
        <f t="shared" si="19"/>
        <v>13952127.871369731</v>
      </c>
      <c r="S32" s="56"/>
      <c r="T32" s="56"/>
    </row>
    <row r="33" spans="1:26" ht="15.75" customHeight="1" x14ac:dyDescent="0.2">
      <c r="A33" s="110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8"/>
      <c r="O33" s="128"/>
      <c r="P33" s="128"/>
      <c r="Q33" s="128"/>
      <c r="R33" s="129"/>
      <c r="S33" s="56"/>
      <c r="T33" s="56"/>
    </row>
    <row r="34" spans="1:26" ht="15.75" customHeight="1" x14ac:dyDescent="0.2">
      <c r="A34" s="109" t="s">
        <v>99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1"/>
      <c r="S34" s="56"/>
      <c r="T34" s="56"/>
    </row>
    <row r="35" spans="1:26" ht="15.75" customHeight="1" x14ac:dyDescent="0.2">
      <c r="A35" s="110" t="str">
        <f t="array" ref="A35:A41">Assumptions!A40:A46</f>
        <v>General/Administrative (1.5 % property value)</v>
      </c>
      <c r="B35" s="116">
        <f>IF(B2&gt;=FirstYearIncome,Assumptions!$B$40,0)</f>
        <v>0</v>
      </c>
      <c r="C35" s="116">
        <f>IF(C2&gt;=FirstYearIncome,Assumptions!$B$40,0)</f>
        <v>0</v>
      </c>
      <c r="D35" s="116">
        <f>IF(D2&gt;=FirstYearIncome,Assumptions!$B$40,0)</f>
        <v>0</v>
      </c>
      <c r="E35" s="116">
        <f>IF(E2&gt;=FirstYearIncome,Assumptions!$B$40,0)</f>
        <v>3086403.75</v>
      </c>
      <c r="F35" s="116">
        <f>IF(F2&gt;=FirstYearIncome,Assumptions!$B$40,0)</f>
        <v>3086403.75</v>
      </c>
      <c r="G35" s="116">
        <f>IF(G2&gt;=FirstYearIncome,Assumptions!$B$40,0)</f>
        <v>3086403.75</v>
      </c>
      <c r="H35" s="116">
        <f>IF(H2&gt;=FirstYearIncome,Assumptions!$B$40,0)</f>
        <v>3086403.75</v>
      </c>
      <c r="I35" s="116">
        <f>IF(I2&gt;=FirstYearIncome,Assumptions!$B$40,0)</f>
        <v>3086403.75</v>
      </c>
      <c r="J35" s="116">
        <f>IF(J2&gt;=FirstYearIncome,Assumptions!$B$40,0)</f>
        <v>3086403.75</v>
      </c>
      <c r="K35" s="116">
        <f>IF(K2&gt;=FirstYearIncome,Assumptions!$B$40,0)</f>
        <v>3086403.75</v>
      </c>
      <c r="L35" s="116">
        <f>IF(L2&gt;=FirstYearIncome,Assumptions!$B$40,0)</f>
        <v>3086403.75</v>
      </c>
      <c r="M35" s="116">
        <f>IF(M2&gt;=FirstYearIncome,Assumptions!$B$40,0)</f>
        <v>3086403.75</v>
      </c>
      <c r="N35" s="116">
        <f>IF(N2&gt;=FirstYearIncome,Assumptions!$B$40,0)</f>
        <v>3086403.75</v>
      </c>
      <c r="O35" s="116">
        <f>IF(O2&gt;=FirstYearIncome,Assumptions!$B$40,0)</f>
        <v>3086403.75</v>
      </c>
      <c r="P35" s="116">
        <f>IF(P2&gt;=FirstYearIncome,Assumptions!$B$40,0)</f>
        <v>3086403.75</v>
      </c>
      <c r="Q35" s="116">
        <f>IF(Q2&gt;=FirstYearIncome,Assumptions!$B$40,0)</f>
        <v>3086403.75</v>
      </c>
      <c r="R35" s="117">
        <f>IF(R2&gt;=FirstYearIncome,Assumptions!$B$40,0)</f>
        <v>3086403.75</v>
      </c>
      <c r="S35" s="56"/>
      <c r="T35" s="56"/>
    </row>
    <row r="36" spans="1:26" ht="15.75" customHeight="1" x14ac:dyDescent="0.2">
      <c r="A36" s="110" t="str">
        <v>Insurance Expenses (.25% property value)</v>
      </c>
      <c r="B36" s="116">
        <f>IF(B2&gt;=FirstYearIncome,Assumptions!$B$41,0)</f>
        <v>0</v>
      </c>
      <c r="C36" s="116">
        <f>IF(C2&gt;=FirstYearIncome,Assumptions!$B$41,0)</f>
        <v>0</v>
      </c>
      <c r="D36" s="116">
        <f>IF(D2&gt;=FirstYearIncome,Assumptions!$B$41,0)</f>
        <v>0</v>
      </c>
      <c r="E36" s="116">
        <f>IF(E2&gt;=FirstYearIncome,Assumptions!$B$41,0)</f>
        <v>514400.625</v>
      </c>
      <c r="F36" s="116">
        <f>IF(F2&gt;=FirstYearIncome,Assumptions!$B$41,0)</f>
        <v>514400.625</v>
      </c>
      <c r="G36" s="116">
        <f>IF(G2&gt;=FirstYearIncome,Assumptions!$B$41,0)</f>
        <v>514400.625</v>
      </c>
      <c r="H36" s="116">
        <f>IF(H2&gt;=FirstYearIncome,Assumptions!$B$41,0)</f>
        <v>514400.625</v>
      </c>
      <c r="I36" s="116">
        <f>IF(I2&gt;=FirstYearIncome,Assumptions!$B$41,0)</f>
        <v>514400.625</v>
      </c>
      <c r="J36" s="116">
        <f>IF(J2&gt;=FirstYearIncome,Assumptions!$B$41,0)</f>
        <v>514400.625</v>
      </c>
      <c r="K36" s="116">
        <f>IF(K2&gt;=FirstYearIncome,Assumptions!$B$41,0)</f>
        <v>514400.625</v>
      </c>
      <c r="L36" s="116">
        <f>IF(L2&gt;=FirstYearIncome,Assumptions!$B$41,0)</f>
        <v>514400.625</v>
      </c>
      <c r="M36" s="116">
        <f>IF(M2&gt;=FirstYearIncome,Assumptions!$B$41,0)</f>
        <v>514400.625</v>
      </c>
      <c r="N36" s="116">
        <f>IF(N2&gt;=FirstYearIncome,Assumptions!$B$41,0)</f>
        <v>514400.625</v>
      </c>
      <c r="O36" s="116">
        <f>IF(O2&gt;=FirstYearIncome,Assumptions!$B$41,0)</f>
        <v>514400.625</v>
      </c>
      <c r="P36" s="116">
        <f>IF(P2&gt;=FirstYearIncome,Assumptions!$B$41,0)</f>
        <v>514400.625</v>
      </c>
      <c r="Q36" s="116">
        <f>IF(Q2&gt;=FirstYearIncome,Assumptions!$B$41,0)</f>
        <v>514400.625</v>
      </c>
      <c r="R36" s="117">
        <f>IF(R2&gt;=FirstYearIncome,Assumptions!$B$41,0)</f>
        <v>514400.625</v>
      </c>
      <c r="S36" s="56"/>
      <c r="T36" s="56"/>
    </row>
    <row r="37" spans="1:26" ht="15.75" customHeight="1" x14ac:dyDescent="0.2">
      <c r="A37" s="110" t="str">
        <v>Advertising and Promotion</v>
      </c>
      <c r="B37" s="116">
        <f>IF(B2&gt;=FirstYearIncome,Assumptions!$B$42,0)</f>
        <v>0</v>
      </c>
      <c r="C37" s="116">
        <f>IF(C2&gt;=FirstYearIncome,Assumptions!$B$42,0)</f>
        <v>0</v>
      </c>
      <c r="D37" s="116">
        <f>IF(D2&gt;=FirstYearIncome,Assumptions!$B$42,0)</f>
        <v>0</v>
      </c>
      <c r="E37" s="116">
        <f>IF(E2&gt;=FirstYearIncome,Assumptions!$B$42,0)</f>
        <v>100000</v>
      </c>
      <c r="F37" s="116">
        <f>IF(F2&gt;=FirstYearIncome,Assumptions!$B$42,0)</f>
        <v>100000</v>
      </c>
      <c r="G37" s="116">
        <f>IF(G2&gt;=FirstYearIncome,Assumptions!$B$42,0)</f>
        <v>100000</v>
      </c>
      <c r="H37" s="116">
        <f>IF(H2&gt;=FirstYearIncome,Assumptions!$B$42,0)</f>
        <v>100000</v>
      </c>
      <c r="I37" s="116">
        <f>IF(I2&gt;=FirstYearIncome,Assumptions!$B$42,0)</f>
        <v>100000</v>
      </c>
      <c r="J37" s="116">
        <f>IF(J2&gt;=FirstYearIncome,Assumptions!$B$42,0)</f>
        <v>100000</v>
      </c>
      <c r="K37" s="116">
        <f>IF(K2&gt;=FirstYearIncome,Assumptions!$B$42,0)</f>
        <v>100000</v>
      </c>
      <c r="L37" s="116">
        <f>IF(L2&gt;=FirstYearIncome,Assumptions!$B$42,0)</f>
        <v>100000</v>
      </c>
      <c r="M37" s="116">
        <f>IF(M2&gt;=FirstYearIncome,Assumptions!$B$42,0)</f>
        <v>100000</v>
      </c>
      <c r="N37" s="116">
        <f>IF(N2&gt;=FirstYearIncome,Assumptions!$B$42,0)</f>
        <v>100000</v>
      </c>
      <c r="O37" s="116">
        <f>IF(O2&gt;=FirstYearIncome,Assumptions!$B$42,0)</f>
        <v>100000</v>
      </c>
      <c r="P37" s="116">
        <f>IF(P2&gt;=FirstYearIncome,Assumptions!$B$42,0)</f>
        <v>100000</v>
      </c>
      <c r="Q37" s="116">
        <f>IF(Q2&gt;=FirstYearIncome,Assumptions!$B$42,0)</f>
        <v>100000</v>
      </c>
      <c r="R37" s="117">
        <f>IF(R2&gt;=FirstYearIncome,Assumptions!$B$42,0)</f>
        <v>100000</v>
      </c>
      <c r="S37" s="56"/>
      <c r="T37" s="56"/>
    </row>
    <row r="38" spans="1:26" ht="15.75" customHeight="1" x14ac:dyDescent="0.2">
      <c r="A38" s="110" t="str">
        <v>Repairs &amp; Maintenance (0.5% property value)</v>
      </c>
      <c r="B38" s="116">
        <f>IF(B2&gt;=FirstYearIncome,Assumptions!$B$43,0)</f>
        <v>0</v>
      </c>
      <c r="C38" s="116">
        <f>IF(C2&gt;=FirstYearIncome,Assumptions!$B$43,0)</f>
        <v>0</v>
      </c>
      <c r="D38" s="116">
        <f>IF(D2&gt;=FirstYearIncome,Assumptions!$B$43,0)</f>
        <v>0</v>
      </c>
      <c r="E38" s="116">
        <f>IF(E2&gt;=FirstYearIncome,Assumptions!$B$43,0)</f>
        <v>1028801.25</v>
      </c>
      <c r="F38" s="116">
        <f>IF(F2&gt;=FirstYearIncome,Assumptions!$B$43,0)</f>
        <v>1028801.25</v>
      </c>
      <c r="G38" s="116">
        <f>IF(G2&gt;=FirstYearIncome,Assumptions!$B$43,0)</f>
        <v>1028801.25</v>
      </c>
      <c r="H38" s="116">
        <f>IF(H2&gt;=FirstYearIncome,Assumptions!$B$43,0)</f>
        <v>1028801.25</v>
      </c>
      <c r="I38" s="116">
        <f>IF(I2&gt;=FirstYearIncome,Assumptions!$B$43,0)</f>
        <v>1028801.25</v>
      </c>
      <c r="J38" s="116">
        <f>IF(J2&gt;=FirstYearIncome,Assumptions!$B$43,0)</f>
        <v>1028801.25</v>
      </c>
      <c r="K38" s="116">
        <f>IF(K2&gt;=FirstYearIncome,Assumptions!$B$43,0)</f>
        <v>1028801.25</v>
      </c>
      <c r="L38" s="116">
        <f>IF(L2&gt;=FirstYearIncome,Assumptions!$B$43,0)</f>
        <v>1028801.25</v>
      </c>
      <c r="M38" s="116">
        <f>IF(M2&gt;=FirstYearIncome,Assumptions!$B$43,0)</f>
        <v>1028801.25</v>
      </c>
      <c r="N38" s="116">
        <f>IF(N2&gt;=FirstYearIncome,Assumptions!$B$43,0)</f>
        <v>1028801.25</v>
      </c>
      <c r="O38" s="116">
        <f>IF(O2&gt;=FirstYearIncome,Assumptions!$B$43,0)</f>
        <v>1028801.25</v>
      </c>
      <c r="P38" s="116">
        <f>IF(P2&gt;=FirstYearIncome,Assumptions!$B$43,0)</f>
        <v>1028801.25</v>
      </c>
      <c r="Q38" s="116">
        <f>IF(Q2&gt;=FirstYearIncome,Assumptions!$B$43,0)</f>
        <v>1028801.25</v>
      </c>
      <c r="R38" s="117">
        <f>IF(R2&gt;=FirstYearIncome,Assumptions!$B$43,0)</f>
        <v>1028801.25</v>
      </c>
      <c r="S38" s="56"/>
      <c r="T38" s="56"/>
    </row>
    <row r="39" spans="1:26" ht="15.75" customHeight="1" x14ac:dyDescent="0.2">
      <c r="A39" s="110" t="str">
        <v xml:space="preserve">Replacement Reserves </v>
      </c>
      <c r="B39" s="116">
        <f>IF(B2&gt;=FirstYearIncome,Assumptions!$B$44,0)</f>
        <v>0</v>
      </c>
      <c r="C39" s="116">
        <f>IF(C2&gt;=FirstYearIncome,Assumptions!$B$44,0)</f>
        <v>0</v>
      </c>
      <c r="D39" s="116">
        <f>IF(D2&gt;=FirstYearIncome,Assumptions!$B$44,0)</f>
        <v>0</v>
      </c>
      <c r="E39" s="116">
        <f>IF(E2&gt;=FirstYearIncome,Assumptions!$B$44,0)</f>
        <v>114311.25</v>
      </c>
      <c r="F39" s="116">
        <f>IF(F2&gt;=FirstYearIncome,Assumptions!$B$44,0)</f>
        <v>114311.25</v>
      </c>
      <c r="G39" s="116">
        <f>IF(G2&gt;=FirstYearIncome,Assumptions!$B$44,0)</f>
        <v>114311.25</v>
      </c>
      <c r="H39" s="116">
        <f>IF(H2&gt;=FirstYearIncome,Assumptions!$B$44,0)</f>
        <v>114311.25</v>
      </c>
      <c r="I39" s="116">
        <f>IF(I2&gt;=FirstYearIncome,Assumptions!$B$44,0)</f>
        <v>114311.25</v>
      </c>
      <c r="J39" s="116">
        <f>IF(J2&gt;=FirstYearIncome,Assumptions!$B$44,0)</f>
        <v>114311.25</v>
      </c>
      <c r="K39" s="116">
        <f>IF(K2&gt;=FirstYearIncome,Assumptions!$B$44,0)</f>
        <v>114311.25</v>
      </c>
      <c r="L39" s="116">
        <f>IF(L2&gt;=FirstYearIncome,Assumptions!$B$44,0)</f>
        <v>114311.25</v>
      </c>
      <c r="M39" s="116">
        <f>IF(M2&gt;=FirstYearIncome,Assumptions!$B$44,0)</f>
        <v>114311.25</v>
      </c>
      <c r="N39" s="116">
        <f>IF(N2&gt;=FirstYearIncome,Assumptions!$B$44,0)</f>
        <v>114311.25</v>
      </c>
      <c r="O39" s="116">
        <f>IF(O2&gt;=FirstYearIncome,Assumptions!$B$44,0)</f>
        <v>114311.25</v>
      </c>
      <c r="P39" s="116">
        <f>IF(P2&gt;=FirstYearIncome,Assumptions!$B$44,0)</f>
        <v>114311.25</v>
      </c>
      <c r="Q39" s="116">
        <f>IF(Q2&gt;=FirstYearIncome,Assumptions!$B$44,0)</f>
        <v>114311.25</v>
      </c>
      <c r="R39" s="117">
        <f>IF(R2&gt;=FirstYearIncome,Assumptions!$B$44,0)</f>
        <v>114311.25</v>
      </c>
      <c r="S39" s="56"/>
      <c r="T39" s="56"/>
    </row>
    <row r="40" spans="1:26" ht="15.75" customHeight="1" x14ac:dyDescent="0.2">
      <c r="A40" s="110" t="str">
        <v>Janitorial Per Year</v>
      </c>
      <c r="B40" s="116">
        <f>IF(B2&gt;=FirstYearIncome,Assumptions!$B$45,0)</f>
        <v>0</v>
      </c>
      <c r="C40" s="116">
        <f>IF(C2&gt;=FirstYearIncome,Assumptions!$B$45,0)</f>
        <v>0</v>
      </c>
      <c r="D40" s="116">
        <f>IF(D2&gt;=FirstYearIncome,Assumptions!$B$45,0)</f>
        <v>0</v>
      </c>
      <c r="E40" s="116">
        <f>IF(E2&gt;=FirstYearIncome,Assumptions!$B$45,0)</f>
        <v>91450</v>
      </c>
      <c r="F40" s="116">
        <f>IF(F2&gt;=FirstYearIncome,Assumptions!$B$45,0)</f>
        <v>91450</v>
      </c>
      <c r="G40" s="116">
        <f>IF(G2&gt;=FirstYearIncome,Assumptions!$B$45,0)</f>
        <v>91450</v>
      </c>
      <c r="H40" s="116">
        <f>IF(H2&gt;=FirstYearIncome,Assumptions!$B$45,0)</f>
        <v>91450</v>
      </c>
      <c r="I40" s="116">
        <f>IF(I2&gt;=FirstYearIncome,Assumptions!$B$45,0)</f>
        <v>91450</v>
      </c>
      <c r="J40" s="116">
        <f>IF(J2&gt;=FirstYearIncome,Assumptions!$B$45,0)</f>
        <v>91450</v>
      </c>
      <c r="K40" s="116">
        <f>IF(K2&gt;=FirstYearIncome,Assumptions!$B$45,0)</f>
        <v>91450</v>
      </c>
      <c r="L40" s="116">
        <f>IF(L2&gt;=FirstYearIncome,Assumptions!$B$45,0)</f>
        <v>91450</v>
      </c>
      <c r="M40" s="116">
        <f>IF(M2&gt;=FirstYearIncome,Assumptions!$B$45,0)</f>
        <v>91450</v>
      </c>
      <c r="N40" s="116">
        <f>IF(N2&gt;=FirstYearIncome,Assumptions!$B$45,0)</f>
        <v>91450</v>
      </c>
      <c r="O40" s="116">
        <f>IF(O2&gt;=FirstYearIncome,Assumptions!$B$45,0)</f>
        <v>91450</v>
      </c>
      <c r="P40" s="116">
        <f>IF(P2&gt;=FirstYearIncome,Assumptions!$B$45,0)</f>
        <v>91450</v>
      </c>
      <c r="Q40" s="116">
        <f>IF(Q2&gt;=FirstYearIncome,Assumptions!$B$45,0)</f>
        <v>91450</v>
      </c>
      <c r="R40" s="117">
        <f>IF(R2&gt;=FirstYearIncome,Assumptions!$B$45,0)</f>
        <v>91450</v>
      </c>
      <c r="S40" s="56"/>
      <c r="T40" s="56"/>
    </row>
    <row r="41" spans="1:26" ht="15.75" customHeight="1" x14ac:dyDescent="0.2">
      <c r="A41" s="111" t="str">
        <v>Landscape Per Year</v>
      </c>
      <c r="B41" s="118">
        <f>IF(B2&gt;=FirstYearIncome,Assumptions!$B$46,0)</f>
        <v>0</v>
      </c>
      <c r="C41" s="118">
        <f>IF(C2&gt;=FirstYearIncome,Assumptions!$B$46,0)</f>
        <v>0</v>
      </c>
      <c r="D41" s="118">
        <f>IF(D2&gt;=FirstYearIncome,Assumptions!$B$46,0)</f>
        <v>0</v>
      </c>
      <c r="E41" s="118">
        <f>IF(E2&gt;=FirstYearIncome,Assumptions!$B$46,0)</f>
        <v>981870</v>
      </c>
      <c r="F41" s="118">
        <f>IF(F2&gt;=FirstYearIncome,Assumptions!$B$46,0)</f>
        <v>981870</v>
      </c>
      <c r="G41" s="118">
        <f>IF(G2&gt;=FirstYearIncome,Assumptions!$B$46,0)</f>
        <v>981870</v>
      </c>
      <c r="H41" s="118">
        <f>IF(H2&gt;=FirstYearIncome,Assumptions!$B$46,0)</f>
        <v>981870</v>
      </c>
      <c r="I41" s="118">
        <f>IF(I2&gt;=FirstYearIncome,Assumptions!$B$46,0)</f>
        <v>981870</v>
      </c>
      <c r="J41" s="118">
        <f>IF(J2&gt;=FirstYearIncome,Assumptions!$B$46,0)</f>
        <v>981870</v>
      </c>
      <c r="K41" s="118">
        <f>IF(K2&gt;=FirstYearIncome,Assumptions!$B$46,0)</f>
        <v>981870</v>
      </c>
      <c r="L41" s="118">
        <f>IF(L2&gt;=FirstYearIncome,Assumptions!$B$46,0)</f>
        <v>981870</v>
      </c>
      <c r="M41" s="118">
        <f>IF(M2&gt;=FirstYearIncome,Assumptions!$B$46,0)</f>
        <v>981870</v>
      </c>
      <c r="N41" s="118">
        <f>IF(N2&gt;=FirstYearIncome,Assumptions!$B$46,0)</f>
        <v>981870</v>
      </c>
      <c r="O41" s="118">
        <f>IF(O2&gt;=FirstYearIncome,Assumptions!$B$46,0)</f>
        <v>981870</v>
      </c>
      <c r="P41" s="118">
        <f>IF(P2&gt;=FirstYearIncome,Assumptions!$B$46,0)</f>
        <v>981870</v>
      </c>
      <c r="Q41" s="118">
        <f>IF(Q2&gt;=FirstYearIncome,Assumptions!$B$46,0)</f>
        <v>981870</v>
      </c>
      <c r="R41" s="119">
        <f>IF(R2&gt;=FirstYearIncome,Assumptions!$B$46,0)</f>
        <v>981870</v>
      </c>
      <c r="S41" s="56"/>
      <c r="T41" s="56"/>
    </row>
    <row r="42" spans="1:26" ht="15.75" customHeight="1" x14ac:dyDescent="0.2">
      <c r="A42" s="110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30"/>
      <c r="S42" s="56"/>
      <c r="T42" s="56"/>
    </row>
    <row r="43" spans="1:26" ht="15.75" customHeight="1" x14ac:dyDescent="0.2">
      <c r="A43" s="109" t="s">
        <v>100</v>
      </c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1"/>
      <c r="S43" s="56"/>
      <c r="T43" s="56"/>
    </row>
    <row r="44" spans="1:26" ht="15.75" customHeight="1" x14ac:dyDescent="0.2">
      <c r="A44" s="110" t="s">
        <v>96</v>
      </c>
      <c r="B44" s="116">
        <f t="shared" ref="B44:M44" si="20">B30</f>
        <v>0</v>
      </c>
      <c r="C44" s="116">
        <f t="shared" si="20"/>
        <v>0</v>
      </c>
      <c r="D44" s="116">
        <f t="shared" si="20"/>
        <v>0</v>
      </c>
      <c r="E44" s="116">
        <f t="shared" si="20"/>
        <v>941220</v>
      </c>
      <c r="F44" s="116">
        <f t="shared" si="20"/>
        <v>941220</v>
      </c>
      <c r="G44" s="116">
        <f t="shared" si="20"/>
        <v>941220</v>
      </c>
      <c r="H44" s="116">
        <f t="shared" si="20"/>
        <v>941220</v>
      </c>
      <c r="I44" s="116">
        <f t="shared" si="20"/>
        <v>941220</v>
      </c>
      <c r="J44" s="116">
        <f t="shared" si="20"/>
        <v>941220</v>
      </c>
      <c r="K44" s="116">
        <f t="shared" si="20"/>
        <v>941220</v>
      </c>
      <c r="L44" s="116">
        <f t="shared" si="20"/>
        <v>941220</v>
      </c>
      <c r="M44" s="116">
        <f t="shared" si="20"/>
        <v>941220</v>
      </c>
      <c r="N44" s="116">
        <f t="shared" ref="N44:R44" si="21">N30</f>
        <v>941220</v>
      </c>
      <c r="O44" s="116">
        <f t="shared" si="21"/>
        <v>941220</v>
      </c>
      <c r="P44" s="116">
        <f t="shared" si="21"/>
        <v>941220</v>
      </c>
      <c r="Q44" s="116">
        <f t="shared" si="21"/>
        <v>941220</v>
      </c>
      <c r="R44" s="117">
        <f t="shared" si="21"/>
        <v>941220</v>
      </c>
      <c r="S44" s="56"/>
      <c r="T44" s="56"/>
    </row>
    <row r="45" spans="1:26" ht="15.75" customHeight="1" x14ac:dyDescent="0.2">
      <c r="A45" s="111" t="s">
        <v>97</v>
      </c>
      <c r="B45" s="118">
        <f t="shared" ref="B45:M45" si="22">B31</f>
        <v>0</v>
      </c>
      <c r="C45" s="118">
        <f t="shared" si="22"/>
        <v>0</v>
      </c>
      <c r="D45" s="118">
        <f t="shared" si="22"/>
        <v>0</v>
      </c>
      <c r="E45" s="118">
        <f t="shared" si="22"/>
        <v>81056.25</v>
      </c>
      <c r="F45" s="118">
        <f t="shared" si="22"/>
        <v>81056.25</v>
      </c>
      <c r="G45" s="118">
        <f t="shared" si="22"/>
        <v>81056.25</v>
      </c>
      <c r="H45" s="118">
        <f t="shared" si="22"/>
        <v>81056.25</v>
      </c>
      <c r="I45" s="118">
        <f t="shared" si="22"/>
        <v>81056.25</v>
      </c>
      <c r="J45" s="118">
        <f t="shared" si="22"/>
        <v>81056.25</v>
      </c>
      <c r="K45" s="118">
        <f t="shared" si="22"/>
        <v>81056.25</v>
      </c>
      <c r="L45" s="118">
        <f t="shared" si="22"/>
        <v>81056.25</v>
      </c>
      <c r="M45" s="118">
        <f t="shared" si="22"/>
        <v>81056.25</v>
      </c>
      <c r="N45" s="118">
        <f t="shared" ref="N45:R45" si="23">N31</f>
        <v>81056.25</v>
      </c>
      <c r="O45" s="118">
        <f t="shared" si="23"/>
        <v>81056.25</v>
      </c>
      <c r="P45" s="118">
        <f t="shared" si="23"/>
        <v>81056.25</v>
      </c>
      <c r="Q45" s="118">
        <f t="shared" si="23"/>
        <v>81056.25</v>
      </c>
      <c r="R45" s="119">
        <f t="shared" si="23"/>
        <v>81056.25</v>
      </c>
      <c r="S45" s="56"/>
      <c r="T45" s="56"/>
    </row>
    <row r="46" spans="1:26" ht="15.75" customHeight="1" x14ac:dyDescent="0.2">
      <c r="A46" s="112" t="s">
        <v>101</v>
      </c>
      <c r="B46" s="125">
        <f t="shared" ref="B46:M46" si="24">SUM(B35:B45)</f>
        <v>0</v>
      </c>
      <c r="C46" s="125">
        <f t="shared" si="24"/>
        <v>0</v>
      </c>
      <c r="D46" s="125">
        <f t="shared" si="24"/>
        <v>0</v>
      </c>
      <c r="E46" s="125">
        <f t="shared" si="24"/>
        <v>6939513.125</v>
      </c>
      <c r="F46" s="125">
        <f t="shared" si="24"/>
        <v>6939513.125</v>
      </c>
      <c r="G46" s="125">
        <f t="shared" si="24"/>
        <v>6939513.125</v>
      </c>
      <c r="H46" s="125">
        <f t="shared" si="24"/>
        <v>6939513.125</v>
      </c>
      <c r="I46" s="125">
        <f t="shared" si="24"/>
        <v>6939513.125</v>
      </c>
      <c r="J46" s="125">
        <f t="shared" si="24"/>
        <v>6939513.125</v>
      </c>
      <c r="K46" s="125">
        <f t="shared" si="24"/>
        <v>6939513.125</v>
      </c>
      <c r="L46" s="125">
        <f t="shared" si="24"/>
        <v>6939513.125</v>
      </c>
      <c r="M46" s="125">
        <f t="shared" si="24"/>
        <v>6939513.125</v>
      </c>
      <c r="N46" s="125">
        <f t="shared" ref="N46:R46" si="25">SUM(N35:N45)</f>
        <v>6939513.125</v>
      </c>
      <c r="O46" s="125">
        <f t="shared" si="25"/>
        <v>6939513.125</v>
      </c>
      <c r="P46" s="125">
        <f t="shared" si="25"/>
        <v>6939513.125</v>
      </c>
      <c r="Q46" s="125">
        <f t="shared" si="25"/>
        <v>6939513.125</v>
      </c>
      <c r="R46" s="126">
        <f t="shared" si="25"/>
        <v>6939513.125</v>
      </c>
      <c r="S46" s="58"/>
      <c r="T46" s="58"/>
      <c r="U46" s="59"/>
      <c r="V46" s="59"/>
      <c r="W46" s="59"/>
      <c r="X46" s="59"/>
      <c r="Y46" s="59"/>
      <c r="Z46" s="59"/>
    </row>
    <row r="47" spans="1:26" ht="15.75" customHeight="1" x14ac:dyDescent="0.2">
      <c r="A47" s="110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31"/>
      <c r="O47" s="131"/>
      <c r="P47" s="131"/>
      <c r="Q47" s="131"/>
      <c r="R47" s="132"/>
      <c r="S47" s="56"/>
      <c r="T47" s="56"/>
    </row>
    <row r="48" spans="1:26" ht="15.75" customHeight="1" x14ac:dyDescent="0.2">
      <c r="A48" s="109" t="s">
        <v>102</v>
      </c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1"/>
      <c r="S48" s="56"/>
      <c r="T48" s="56"/>
    </row>
    <row r="49" spans="1:26" ht="15.75" customHeight="1" x14ac:dyDescent="0.2">
      <c r="A49" s="110" t="s">
        <v>103</v>
      </c>
      <c r="B49" s="116">
        <f t="shared" ref="B49:R49" si="26">B32-B46</f>
        <v>0</v>
      </c>
      <c r="C49" s="116">
        <f t="shared" si="26"/>
        <v>0</v>
      </c>
      <c r="D49" s="116">
        <f t="shared" si="26"/>
        <v>0</v>
      </c>
      <c r="E49" s="116">
        <f t="shared" si="26"/>
        <v>3183089.2329999991</v>
      </c>
      <c r="F49" s="116">
        <f t="shared" si="26"/>
        <v>3508096.5558400005</v>
      </c>
      <c r="G49" s="116">
        <f t="shared" si="26"/>
        <v>3758579.8282155991</v>
      </c>
      <c r="H49" s="116">
        <f t="shared" si="26"/>
        <v>4015932.0641514771</v>
      </c>
      <c r="I49" s="116">
        <f t="shared" si="26"/>
        <v>4280346.4218622167</v>
      </c>
      <c r="J49" s="116">
        <f t="shared" si="26"/>
        <v>4552021.5960950032</v>
      </c>
      <c r="K49" s="116">
        <f t="shared" si="26"/>
        <v>4831161.9790613111</v>
      </c>
      <c r="L49" s="116">
        <f t="shared" si="26"/>
        <v>5117977.826093277</v>
      </c>
      <c r="M49" s="116">
        <f t="shared" si="26"/>
        <v>5412685.4261644036</v>
      </c>
      <c r="N49" s="116">
        <f t="shared" si="26"/>
        <v>5715507.2774184346</v>
      </c>
      <c r="O49" s="116">
        <f t="shared" si="26"/>
        <v>6026672.267854467</v>
      </c>
      <c r="P49" s="116">
        <f t="shared" si="26"/>
        <v>6346415.8613208476</v>
      </c>
      <c r="Q49" s="116">
        <f t="shared" si="26"/>
        <v>6674980.2889748365</v>
      </c>
      <c r="R49" s="117">
        <f t="shared" si="26"/>
        <v>7012614.7463697307</v>
      </c>
      <c r="S49" s="56"/>
      <c r="T49" s="56"/>
    </row>
    <row r="50" spans="1:26" ht="15.75" customHeight="1" x14ac:dyDescent="0.2">
      <c r="A50" s="111" t="s">
        <v>104</v>
      </c>
      <c r="B50" s="118">
        <f t="shared" ref="B50:P50" si="27">IF(B2=TotalYears,C49/CapRate,0)</f>
        <v>0</v>
      </c>
      <c r="C50" s="118">
        <f t="shared" si="27"/>
        <v>0</v>
      </c>
      <c r="D50" s="118">
        <f t="shared" si="27"/>
        <v>0</v>
      </c>
      <c r="E50" s="118">
        <f>IF(E2=TotalYears,F49/CapRate,0)</f>
        <v>0</v>
      </c>
      <c r="F50" s="118">
        <f t="shared" si="27"/>
        <v>0</v>
      </c>
      <c r="G50" s="118">
        <f t="shared" si="27"/>
        <v>0</v>
      </c>
      <c r="H50" s="118">
        <f t="shared" si="27"/>
        <v>0</v>
      </c>
      <c r="I50" s="118">
        <f t="shared" si="27"/>
        <v>0</v>
      </c>
      <c r="J50" s="118">
        <f t="shared" si="27"/>
        <v>0</v>
      </c>
      <c r="K50" s="118">
        <f t="shared" si="27"/>
        <v>0</v>
      </c>
      <c r="L50" s="118">
        <f t="shared" si="27"/>
        <v>0</v>
      </c>
      <c r="M50" s="118">
        <f t="shared" si="27"/>
        <v>0</v>
      </c>
      <c r="N50" s="118">
        <f t="shared" si="27"/>
        <v>0</v>
      </c>
      <c r="O50" s="118">
        <f t="shared" si="27"/>
        <v>0</v>
      </c>
      <c r="P50" s="118">
        <f t="shared" si="27"/>
        <v>0</v>
      </c>
      <c r="Q50" s="118">
        <f>IF(Q2=TotalYears,R49/CapRate,0)</f>
        <v>140252294.9273946</v>
      </c>
      <c r="R50" s="119"/>
      <c r="S50" s="56"/>
      <c r="T50" s="56"/>
    </row>
    <row r="51" spans="1:26" ht="15.75" customHeight="1" x14ac:dyDescent="0.2">
      <c r="A51" s="112" t="s">
        <v>105</v>
      </c>
      <c r="B51" s="125">
        <f t="shared" ref="B51:K51" si="28">B49+B50</f>
        <v>0</v>
      </c>
      <c r="C51" s="125">
        <f t="shared" si="28"/>
        <v>0</v>
      </c>
      <c r="D51" s="125">
        <f t="shared" si="28"/>
        <v>0</v>
      </c>
      <c r="E51" s="125">
        <f t="shared" si="28"/>
        <v>3183089.2329999991</v>
      </c>
      <c r="F51" s="125">
        <f t="shared" si="28"/>
        <v>3508096.5558400005</v>
      </c>
      <c r="G51" s="125">
        <f t="shared" si="28"/>
        <v>3758579.8282155991</v>
      </c>
      <c r="H51" s="125">
        <f t="shared" si="28"/>
        <v>4015932.0641514771</v>
      </c>
      <c r="I51" s="125">
        <f t="shared" si="28"/>
        <v>4280346.4218622167</v>
      </c>
      <c r="J51" s="125">
        <f t="shared" si="28"/>
        <v>4552021.5960950032</v>
      </c>
      <c r="K51" s="125">
        <f t="shared" si="28"/>
        <v>4831161.9790613111</v>
      </c>
      <c r="L51" s="125">
        <f>L49+L50</f>
        <v>5117977.826093277</v>
      </c>
      <c r="M51" s="125">
        <f>M49+M50</f>
        <v>5412685.4261644036</v>
      </c>
      <c r="N51" s="125">
        <f t="shared" ref="N51:R51" si="29">N49+N50</f>
        <v>5715507.2774184346</v>
      </c>
      <c r="O51" s="125">
        <f t="shared" si="29"/>
        <v>6026672.267854467</v>
      </c>
      <c r="P51" s="125">
        <f t="shared" si="29"/>
        <v>6346415.8613208476</v>
      </c>
      <c r="Q51" s="125">
        <f t="shared" si="29"/>
        <v>146927275.21636945</v>
      </c>
      <c r="R51" s="126">
        <f t="shared" si="29"/>
        <v>7012614.7463697307</v>
      </c>
      <c r="S51" s="58"/>
      <c r="T51" s="58"/>
      <c r="U51" s="59"/>
      <c r="V51" s="59"/>
      <c r="W51" s="59"/>
      <c r="X51" s="59"/>
      <c r="Y51" s="59"/>
      <c r="Z51" s="59"/>
    </row>
    <row r="52" spans="1:26" ht="15.75" customHeight="1" x14ac:dyDescent="0.2">
      <c r="A52" s="110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31"/>
      <c r="O52" s="131"/>
      <c r="P52" s="131"/>
      <c r="Q52" s="131"/>
      <c r="R52" s="129"/>
      <c r="S52" s="56"/>
      <c r="T52" s="56"/>
    </row>
    <row r="53" spans="1:26" ht="15.75" customHeight="1" x14ac:dyDescent="0.2">
      <c r="A53" s="109" t="s">
        <v>106</v>
      </c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1"/>
      <c r="S53" s="56"/>
      <c r="T53" s="56"/>
    </row>
    <row r="54" spans="1:26" ht="15.75" customHeight="1" x14ac:dyDescent="0.2">
      <c r="A54" s="110" t="s">
        <v>107</v>
      </c>
      <c r="B54" s="116">
        <f>IF(B2&gt;=FirstYearIncome,((Assumptions!$B$35*Assumptions!$B$27)+(Assumptions!$E$35*Assumptions!$E$27)),0)</f>
        <v>0</v>
      </c>
      <c r="C54" s="116">
        <f>IF(C2&gt;=FirstYearIncome,((Assumptions!$B$35*Assumptions!$B$27)+(Assumptions!$E$35*Assumptions!$E$27)),0)</f>
        <v>0</v>
      </c>
      <c r="D54" s="116">
        <f>IF(D2&gt;=FirstYearIncome,((Assumptions!$B$35*Assumptions!$B$27)+(Assumptions!$E$35*Assumptions!$E$27)),0)</f>
        <v>0</v>
      </c>
      <c r="E54" s="116">
        <f>IF(E2&gt;=FirstYearIncome,((Assumptions!$B$35*Assumptions!$B$27)+(Assumptions!$E$35*Assumptions!$E$27)),0)</f>
        <v>576675</v>
      </c>
      <c r="F54" s="116">
        <f>IF(F2&gt;=FirstYearIncome,((Assumptions!$B$35*Assumptions!$B$27)+(Assumptions!$E$35*Assumptions!$E$27)),0)</f>
        <v>576675</v>
      </c>
      <c r="G54" s="116">
        <f>IF(G2&gt;=FirstYearIncome,((Assumptions!$B$35*Assumptions!$B$27)+(Assumptions!$E$35*Assumptions!$E$27)),0)</f>
        <v>576675</v>
      </c>
      <c r="H54" s="116">
        <f>IF(H2&gt;=FirstYearIncome,((Assumptions!$B$35*Assumptions!$B$27)+(Assumptions!$E$35*Assumptions!$E$27)),0)</f>
        <v>576675</v>
      </c>
      <c r="I54" s="116">
        <f>IF(I2&gt;=FirstYearIncome,((Assumptions!$B$35*Assumptions!$B$27)+(Assumptions!$E$35*Assumptions!$E$27)),0)</f>
        <v>576675</v>
      </c>
      <c r="J54" s="116">
        <f>IF(J2&gt;=FirstYearIncome,((Assumptions!$B$35*Assumptions!$B$27)+(Assumptions!$E$35*Assumptions!$E$27)),0)</f>
        <v>576675</v>
      </c>
      <c r="K54" s="116">
        <f>IF(K2&gt;=FirstYearIncome,((Assumptions!$B$35*Assumptions!$B$27)+(Assumptions!$E$35*Assumptions!$E$27)),0)</f>
        <v>576675</v>
      </c>
      <c r="L54" s="116">
        <f>IF(L2&gt;=FirstYearIncome,((Assumptions!$B$35*Assumptions!$B$27)+(Assumptions!$E$35*Assumptions!$E$27)),0)</f>
        <v>576675</v>
      </c>
      <c r="M54" s="116">
        <f>IF(M2&gt;=FirstYearIncome,((Assumptions!$B$35*Assumptions!$B$27)+(Assumptions!$E$35*Assumptions!$E$27)),0)</f>
        <v>576675</v>
      </c>
      <c r="N54" s="116">
        <f>IF(N2&gt;=FirstYearIncome,((Assumptions!$B$35*Assumptions!$B$27)+(Assumptions!$E$35*Assumptions!$E$27)),0)</f>
        <v>576675</v>
      </c>
      <c r="O54" s="116">
        <f>IF(O2&gt;=FirstYearIncome,((Assumptions!$B$35*Assumptions!$B$27)+(Assumptions!$E$35*Assumptions!$E$27)),0)</f>
        <v>576675</v>
      </c>
      <c r="P54" s="116">
        <f>IF(P2&gt;=FirstYearIncome,((Assumptions!$B$35*Assumptions!$B$27)+(Assumptions!$E$35*Assumptions!$E$27)),0)</f>
        <v>576675</v>
      </c>
      <c r="Q54" s="116">
        <f>IF(Q2&gt;=FirstYearIncome,((Assumptions!$B$35*Assumptions!$B$27)+(Assumptions!$E$35*Assumptions!$E$27)),0)</f>
        <v>576675</v>
      </c>
      <c r="R54" s="117"/>
      <c r="S54" s="56"/>
      <c r="T54" s="56"/>
    </row>
    <row r="55" spans="1:26" ht="15.75" customHeight="1" x14ac:dyDescent="0.2">
      <c r="A55" s="111" t="s">
        <v>108</v>
      </c>
      <c r="B55" s="118">
        <f>IF(B2&gt;=FirstYearIncome,((Assumptions!$B$36*Assumptions!$B$27)+(Assumptions!$E$36*Assumptions!$E$27)),0)</f>
        <v>0</v>
      </c>
      <c r="C55" s="118">
        <f>IF(C2&gt;=FirstYearIncome,((Assumptions!$B$36*Assumptions!$B$27)+(Assumptions!$E$36*Assumptions!$E$27)),0)</f>
        <v>0</v>
      </c>
      <c r="D55" s="118">
        <f>IF(D2&gt;=FirstYearIncome,((Assumptions!$B$36*Assumptions!$B$27)+(Assumptions!$E$36*Assumptions!$E$27)),0)</f>
        <v>0</v>
      </c>
      <c r="E55" s="118">
        <f>IF(E2&gt;=FirstYearIncome,((Assumptions!$B$36*Assumptions!$B$27)+(Assumptions!$E$36*Assumptions!$E$27)),0)</f>
        <v>961125</v>
      </c>
      <c r="F55" s="118">
        <f>IF(F2&gt;=FirstYearIncome,((Assumptions!$B$36*Assumptions!$B$27)+(Assumptions!$E$36*Assumptions!$E$27)),0)</f>
        <v>961125</v>
      </c>
      <c r="G55" s="118">
        <f>IF(G2&gt;=FirstYearIncome,((Assumptions!$B$36*Assumptions!$B$27)+(Assumptions!$E$36*Assumptions!$E$27)),0)</f>
        <v>961125</v>
      </c>
      <c r="H55" s="118">
        <f>IF(H2&gt;=FirstYearIncome,((Assumptions!$B$36*Assumptions!$B$27)+(Assumptions!$E$36*Assumptions!$E$27)),0)</f>
        <v>961125</v>
      </c>
      <c r="I55" s="118">
        <f>IF(I2&gt;=FirstYearIncome,((Assumptions!$B$36*Assumptions!$B$27)+(Assumptions!$E$36*Assumptions!$E$27)),0)</f>
        <v>961125</v>
      </c>
      <c r="J55" s="118">
        <f>IF(J2&gt;=FirstYearIncome,((Assumptions!$B$36*Assumptions!$B$27)+(Assumptions!$E$36*Assumptions!$E$27)),0)</f>
        <v>961125</v>
      </c>
      <c r="K55" s="118">
        <f>IF(K2&gt;=FirstYearIncome,((Assumptions!$B$36*Assumptions!$B$27)+(Assumptions!$E$36*Assumptions!$E$27)),0)</f>
        <v>961125</v>
      </c>
      <c r="L55" s="118">
        <f>IF(L2&gt;=FirstYearIncome,((Assumptions!$B$36*Assumptions!$B$27)+(Assumptions!$E$36*Assumptions!$E$27)),0)</f>
        <v>961125</v>
      </c>
      <c r="M55" s="118">
        <f>IF(M2&gt;=FirstYearIncome,((Assumptions!$B$36*Assumptions!$B$27)+(Assumptions!$E$36*Assumptions!$E$27)),0)</f>
        <v>961125</v>
      </c>
      <c r="N55" s="118">
        <f>IF(N2&gt;=FirstYearIncome,((Assumptions!$B$36*Assumptions!$B$27)+(Assumptions!$E$36*Assumptions!$E$27)),0)</f>
        <v>961125</v>
      </c>
      <c r="O55" s="118">
        <f>IF(O2&gt;=FirstYearIncome,((Assumptions!$B$36*Assumptions!$B$27)+(Assumptions!$E$36*Assumptions!$E$27)),0)</f>
        <v>961125</v>
      </c>
      <c r="P55" s="118">
        <f>IF(P2&gt;=FirstYearIncome,((Assumptions!$B$36*Assumptions!$B$27)+(Assumptions!$E$36*Assumptions!$E$27)),0)</f>
        <v>961125</v>
      </c>
      <c r="Q55" s="118">
        <f>IF(Q2&gt;=FirstYearIncome,((Assumptions!$B$36*Assumptions!$B$27)+(Assumptions!$E$36*Assumptions!$E$27)),0)</f>
        <v>961125</v>
      </c>
      <c r="R55" s="119"/>
      <c r="S55" s="56"/>
      <c r="T55" s="56"/>
    </row>
    <row r="56" spans="1:26" ht="15.75" customHeight="1" x14ac:dyDescent="0.2">
      <c r="A56" s="110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7"/>
      <c r="S56" s="56"/>
      <c r="T56" s="56"/>
    </row>
    <row r="57" spans="1:26" ht="15.75" customHeight="1" x14ac:dyDescent="0.2">
      <c r="A57" s="109" t="s">
        <v>109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1"/>
      <c r="S57" s="56"/>
      <c r="T57" s="56"/>
    </row>
    <row r="58" spans="1:26" ht="15.75" customHeight="1" x14ac:dyDescent="0.2">
      <c r="A58" s="112" t="str">
        <f t="array" ref="A58:A65">Assumptions!D39:D46</f>
        <v>Residential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7"/>
      <c r="S58" s="56"/>
      <c r="T58" s="56"/>
    </row>
    <row r="59" spans="1:26" ht="15.75" customHeight="1" x14ac:dyDescent="0.2">
      <c r="A59" s="110" t="str">
        <v>Estimated Hard Costs</v>
      </c>
      <c r="B59" s="116">
        <f>IF(B2&lt;FirstYearIncome,((Assumptions!$E$40)/FirstYearIncome),0)</f>
        <v>21840000</v>
      </c>
      <c r="C59" s="116">
        <f>IF(C2&lt;FirstYearIncome,((Assumptions!$E$40)/FirstYearIncome),0)</f>
        <v>21840000</v>
      </c>
      <c r="D59" s="116">
        <f>IF(D2&lt;FirstYearIncome,((Assumptions!$E$40)/FirstYearIncome),0)</f>
        <v>21840000</v>
      </c>
      <c r="E59" s="116">
        <f>IF(E2&lt;FirstYearIncome,((Assumptions!$E$40)/FirstYearIncome),0)</f>
        <v>0</v>
      </c>
      <c r="F59" s="116">
        <f>IF(F2&lt;FirstYearIncome,((Assumptions!$E$40)/FirstYearIncome),0)</f>
        <v>0</v>
      </c>
      <c r="G59" s="116">
        <f>IF(G2&lt;FirstYearIncome,((Assumptions!$E$40)/FirstYearIncome),0)</f>
        <v>0</v>
      </c>
      <c r="H59" s="116">
        <f>IF(H2&lt;FirstYearIncome,((Assumptions!$E$40)/FirstYearIncome),0)</f>
        <v>0</v>
      </c>
      <c r="I59" s="116">
        <f>IF(I2&lt;FirstYearIncome,((Assumptions!$E$40)/FirstYearIncome),0)</f>
        <v>0</v>
      </c>
      <c r="J59" s="116">
        <f>IF(J2&lt;FirstYearIncome,((Assumptions!$E$40)/FirstYearIncome),0)</f>
        <v>0</v>
      </c>
      <c r="K59" s="116">
        <f>IF(K2&lt;FirstYearIncome,((Assumptions!$E$40)/FirstYearIncome),0)</f>
        <v>0</v>
      </c>
      <c r="L59" s="116">
        <f>IF(L2&lt;FirstYearIncome,((Assumptions!$E$40)/FirstYearIncome),0)</f>
        <v>0</v>
      </c>
      <c r="M59" s="116">
        <f>IF(M2&lt;FirstYearIncome,((Assumptions!$E$40)/FirstYearIncome),0)</f>
        <v>0</v>
      </c>
      <c r="N59" s="116">
        <f>IF(N2&lt;FirstYearIncome,((Assumptions!$E$40)/FirstYearIncome),0)</f>
        <v>0</v>
      </c>
      <c r="O59" s="116">
        <f>IF(O2&lt;FirstYearIncome,((Assumptions!$E$40)/FirstYearIncome),0)</f>
        <v>0</v>
      </c>
      <c r="P59" s="116">
        <f>IF(P2&lt;FirstYearIncome,((Assumptions!$E$40)/FirstYearIncome),0)</f>
        <v>0</v>
      </c>
      <c r="Q59" s="116">
        <f>IF(Q2&lt;FirstYearIncome,((Assumptions!$E$40)/FirstYearIncome),0)</f>
        <v>0</v>
      </c>
      <c r="R59" s="117"/>
      <c r="S59" s="56"/>
      <c r="T59" s="56"/>
    </row>
    <row r="60" spans="1:26" ht="15.75" customHeight="1" x14ac:dyDescent="0.2">
      <c r="A60" s="110" t="str">
        <v>Estimated Soft Costs</v>
      </c>
      <c r="B60" s="116">
        <f>IF(B2&lt;FirstYearIncome,((Assumptions!$E$41)/FirstYearIncome),0)</f>
        <v>4368000</v>
      </c>
      <c r="C60" s="116">
        <f>IF(C2&lt;FirstYearIncome,((Assumptions!$E$41)/FirstYearIncome),0)</f>
        <v>4368000</v>
      </c>
      <c r="D60" s="116">
        <f>IF(D2&lt;FirstYearIncome,((Assumptions!$E$41)/FirstYearIncome),0)</f>
        <v>4368000</v>
      </c>
      <c r="E60" s="116">
        <f>IF(E2&lt;FirstYearIncome,((Assumptions!$E$41)/FirstYearIncome),0)</f>
        <v>0</v>
      </c>
      <c r="F60" s="116">
        <f>IF(F2&lt;FirstYearIncome,((Assumptions!$E$41)/FirstYearIncome),0)</f>
        <v>0</v>
      </c>
      <c r="G60" s="116">
        <f>IF(G2&lt;FirstYearIncome,((Assumptions!$E$41)/FirstYearIncome),0)</f>
        <v>0</v>
      </c>
      <c r="H60" s="116">
        <f>IF(H2&lt;FirstYearIncome,((Assumptions!$E$41)/FirstYearIncome),0)</f>
        <v>0</v>
      </c>
      <c r="I60" s="116">
        <f>IF(I2&lt;FirstYearIncome,((Assumptions!$E$41)/FirstYearIncome),0)</f>
        <v>0</v>
      </c>
      <c r="J60" s="116">
        <f>IF(J2&lt;FirstYearIncome,((Assumptions!$E$41)/FirstYearIncome),0)</f>
        <v>0</v>
      </c>
      <c r="K60" s="116">
        <f>IF(K2&lt;FirstYearIncome,((Assumptions!$E$41)/FirstYearIncome),0)</f>
        <v>0</v>
      </c>
      <c r="L60" s="116">
        <f>IF(L2&lt;FirstYearIncome,((Assumptions!$E$41)/FirstYearIncome),0)</f>
        <v>0</v>
      </c>
      <c r="M60" s="116">
        <f>IF(M2&lt;FirstYearIncome,((Assumptions!$E$41)/FirstYearIncome),0)</f>
        <v>0</v>
      </c>
      <c r="N60" s="116">
        <f>IF(N2&lt;FirstYearIncome,((Assumptions!$E$41)/FirstYearIncome),0)</f>
        <v>0</v>
      </c>
      <c r="O60" s="116">
        <f>IF(O2&lt;FirstYearIncome,((Assumptions!$E$41)/FirstYearIncome),0)</f>
        <v>0</v>
      </c>
      <c r="P60" s="116">
        <f>IF(P2&lt;FirstYearIncome,((Assumptions!$E$41)/FirstYearIncome),0)</f>
        <v>0</v>
      </c>
      <c r="Q60" s="116">
        <f>IF(Q2&lt;FirstYearIncome,((Assumptions!$E$41)/FirstYearIncome),0)</f>
        <v>0</v>
      </c>
      <c r="R60" s="117"/>
      <c r="S60" s="56"/>
      <c r="T60" s="56"/>
    </row>
    <row r="61" spans="1:26" ht="15.75" customHeight="1" x14ac:dyDescent="0.2">
      <c r="A61" s="112" t="str">
        <v>Commercial</v>
      </c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7"/>
      <c r="S61" s="56"/>
      <c r="T61" s="56"/>
    </row>
    <row r="62" spans="1:26" ht="15.75" customHeight="1" x14ac:dyDescent="0.2">
      <c r="A62" s="110" t="str">
        <v>Estimated Hard Costs</v>
      </c>
      <c r="B62" s="116">
        <f>IF(B2&lt;FirstYearIncome,((Assumptions!$E$43)/FirstYearIncome),0)</f>
        <v>7604800</v>
      </c>
      <c r="C62" s="116">
        <f>IF(C2&lt;FirstYearIncome,((Assumptions!$E$43)/FirstYearIncome),0)</f>
        <v>7604800</v>
      </c>
      <c r="D62" s="116">
        <f>IF(D2&lt;FirstYearIncome,((Assumptions!$E$43)/FirstYearIncome),0)</f>
        <v>7604800</v>
      </c>
      <c r="E62" s="116">
        <f>IF(E2&lt;FirstYearIncome,((Assumptions!$E$43)/FirstYearIncome),0)</f>
        <v>0</v>
      </c>
      <c r="F62" s="116">
        <f>IF(F2&lt;FirstYearIncome,((Assumptions!$E$43)/FirstYearIncome),0)</f>
        <v>0</v>
      </c>
      <c r="G62" s="116">
        <f>IF(G2&lt;FirstYearIncome,((Assumptions!$E$43)/FirstYearIncome),0)</f>
        <v>0</v>
      </c>
      <c r="H62" s="116">
        <f>IF(H2&lt;FirstYearIncome,((Assumptions!$E$43)/FirstYearIncome),0)</f>
        <v>0</v>
      </c>
      <c r="I62" s="116">
        <f>IF(I2&lt;FirstYearIncome,((Assumptions!$E$43)/FirstYearIncome),0)</f>
        <v>0</v>
      </c>
      <c r="J62" s="116">
        <f>IF(J2&lt;FirstYearIncome,((Assumptions!$E$43)/FirstYearIncome),0)</f>
        <v>0</v>
      </c>
      <c r="K62" s="116">
        <f>IF(K2&lt;FirstYearIncome,((Assumptions!$E$43)/FirstYearIncome),0)</f>
        <v>0</v>
      </c>
      <c r="L62" s="116">
        <f>IF(L2&lt;FirstYearIncome,((Assumptions!$E$43)/FirstYearIncome),0)</f>
        <v>0</v>
      </c>
      <c r="M62" s="116">
        <f>IF(M2&lt;FirstYearIncome,((Assumptions!$E$43)/FirstYearIncome),0)</f>
        <v>0</v>
      </c>
      <c r="N62" s="116">
        <f>IF(N2&lt;FirstYearIncome,((Assumptions!$E$43)/FirstYearIncome),0)</f>
        <v>0</v>
      </c>
      <c r="O62" s="116">
        <f>IF(O2&lt;FirstYearIncome,((Assumptions!$E$43)/FirstYearIncome),0)</f>
        <v>0</v>
      </c>
      <c r="P62" s="116">
        <f>IF(P2&lt;FirstYearIncome,((Assumptions!$E$43)/FirstYearIncome),0)</f>
        <v>0</v>
      </c>
      <c r="Q62" s="116">
        <f>IF(Q2&lt;FirstYearIncome,((Assumptions!$E$43)/FirstYearIncome),0)</f>
        <v>0</v>
      </c>
      <c r="R62" s="117"/>
      <c r="S62" s="56"/>
      <c r="T62" s="56"/>
    </row>
    <row r="63" spans="1:26" ht="15.75" customHeight="1" x14ac:dyDescent="0.2">
      <c r="A63" s="110" t="str">
        <v>Estimated Soft Costs</v>
      </c>
      <c r="B63" s="116">
        <f>IF(B2&lt;FirstYearIncome,((Assumptions!$E$44)/FirstYearIncome),0)</f>
        <v>1520960</v>
      </c>
      <c r="C63" s="116">
        <f>IF(C2&lt;FirstYearIncome,((Assumptions!$E$44)/FirstYearIncome),0)</f>
        <v>1520960</v>
      </c>
      <c r="D63" s="116">
        <f>IF(D2&lt;FirstYearIncome,((Assumptions!$E$44)/FirstYearIncome),0)</f>
        <v>1520960</v>
      </c>
      <c r="E63" s="116">
        <f>IF(E2&lt;FirstYearIncome,((Assumptions!$E$44)/FirstYearIncome),0)</f>
        <v>0</v>
      </c>
      <c r="F63" s="116">
        <f>IF(F2&lt;FirstYearIncome,((Assumptions!$E$44)/FirstYearIncome),0)</f>
        <v>0</v>
      </c>
      <c r="G63" s="116">
        <f>IF(G2&lt;FirstYearIncome,((Assumptions!$E$44)/FirstYearIncome),0)</f>
        <v>0</v>
      </c>
      <c r="H63" s="116">
        <f>IF(H2&lt;FirstYearIncome,((Assumptions!$E$44)/FirstYearIncome),0)</f>
        <v>0</v>
      </c>
      <c r="I63" s="116">
        <f>IF(I2&lt;FirstYearIncome,((Assumptions!$E$44)/FirstYearIncome),0)</f>
        <v>0</v>
      </c>
      <c r="J63" s="116">
        <f>IF(J2&lt;FirstYearIncome,((Assumptions!$E$44)/FirstYearIncome),0)</f>
        <v>0</v>
      </c>
      <c r="K63" s="116">
        <f>IF(K2&lt;FirstYearIncome,((Assumptions!$E$44)/FirstYearIncome),0)</f>
        <v>0</v>
      </c>
      <c r="L63" s="116">
        <f>IF(L2&lt;FirstYearIncome,((Assumptions!$E$44)/FirstYearIncome),0)</f>
        <v>0</v>
      </c>
      <c r="M63" s="116">
        <f>IF(M2&lt;FirstYearIncome,((Assumptions!$E$44)/FirstYearIncome),0)</f>
        <v>0</v>
      </c>
      <c r="N63" s="116">
        <f>IF(N2&lt;FirstYearIncome,((Assumptions!$E$44)/FirstYearIncome),0)</f>
        <v>0</v>
      </c>
      <c r="O63" s="116">
        <f>IF(O2&lt;FirstYearIncome,((Assumptions!$E$44)/FirstYearIncome),0)</f>
        <v>0</v>
      </c>
      <c r="P63" s="116">
        <f>IF(P2&lt;FirstYearIncome,((Assumptions!$E$44)/FirstYearIncome),0)</f>
        <v>0</v>
      </c>
      <c r="Q63" s="116">
        <f>IF(Q2&lt;FirstYearIncome,((Assumptions!$E$44)/FirstYearIncome),0)</f>
        <v>0</v>
      </c>
      <c r="R63" s="117"/>
      <c r="S63" s="56"/>
      <c r="T63" s="56"/>
    </row>
    <row r="64" spans="1:26" ht="15.75" customHeight="1" x14ac:dyDescent="0.2">
      <c r="A64" s="112" t="str">
        <v>Residential+Commercial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7"/>
      <c r="S64" s="56"/>
      <c r="T64" s="56"/>
    </row>
    <row r="65" spans="1:20" ht="15.75" customHeight="1" x14ac:dyDescent="0.2">
      <c r="A65" s="111" t="str">
        <v>Development Costs</v>
      </c>
      <c r="B65" s="118">
        <f>IF(B2&lt;FirstYearIncome,((Assumptions!$E$46)/FirstYearIncome),0)</f>
        <v>1472240</v>
      </c>
      <c r="C65" s="118">
        <f>IF(C2&lt;FirstYearIncome,((Assumptions!$E$46)/FirstYearIncome),0)</f>
        <v>1472240</v>
      </c>
      <c r="D65" s="118">
        <f>IF(D2&lt;FirstYearIncome,((Assumptions!$E$46)/FirstYearIncome),0)</f>
        <v>1472240</v>
      </c>
      <c r="E65" s="118">
        <f>IF(E2&lt;FirstYearIncome,((Assumptions!$E$46)/FirstYearIncome),0)</f>
        <v>0</v>
      </c>
      <c r="F65" s="118">
        <f>IF(F2&lt;FirstYearIncome,((Assumptions!$E$46)/FirstYearIncome),0)</f>
        <v>0</v>
      </c>
      <c r="G65" s="118">
        <f>IF(G2&lt;FirstYearIncome,((Assumptions!$E$46)/FirstYearIncome),0)</f>
        <v>0</v>
      </c>
      <c r="H65" s="118">
        <f>IF(H2&lt;FirstYearIncome,((Assumptions!$E$46)/FirstYearIncome),0)</f>
        <v>0</v>
      </c>
      <c r="I65" s="118">
        <f>IF(I2&lt;FirstYearIncome,((Assumptions!$E$46)/FirstYearIncome),0)</f>
        <v>0</v>
      </c>
      <c r="J65" s="118">
        <f>IF(J2&lt;FirstYearIncome,((Assumptions!$E$46)/FirstYearIncome),0)</f>
        <v>0</v>
      </c>
      <c r="K65" s="118">
        <f>IF(K2&lt;FirstYearIncome,((Assumptions!$E$46)/FirstYearIncome),0)</f>
        <v>0</v>
      </c>
      <c r="L65" s="118">
        <f>IF(L2&lt;FirstYearIncome,((Assumptions!$E$46)/FirstYearIncome),0)</f>
        <v>0</v>
      </c>
      <c r="M65" s="118">
        <f>IF(M2&lt;FirstYearIncome,((Assumptions!$E$46)/FirstYearIncome),0)</f>
        <v>0</v>
      </c>
      <c r="N65" s="118">
        <f>IF(N2&lt;FirstYearIncome,((Assumptions!$E$46)/FirstYearIncome),0)</f>
        <v>0</v>
      </c>
      <c r="O65" s="118">
        <f>IF(O2&lt;FirstYearIncome,((Assumptions!$E$46)/FirstYearIncome),0)</f>
        <v>0</v>
      </c>
      <c r="P65" s="118">
        <f>IF(P2&lt;FirstYearIncome,((Assumptions!$E$46)/FirstYearIncome),0)</f>
        <v>0</v>
      </c>
      <c r="Q65" s="118">
        <f>IF(Q2&lt;FirstYearIncome,((Assumptions!$E$46)/FirstYearIncome),0)</f>
        <v>0</v>
      </c>
      <c r="R65" s="119"/>
      <c r="S65" s="56"/>
      <c r="T65" s="56"/>
    </row>
    <row r="66" spans="1:20" ht="15.75" customHeight="1" x14ac:dyDescent="0.2">
      <c r="A66" s="110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7"/>
      <c r="S66" s="56"/>
      <c r="T66" s="56"/>
    </row>
    <row r="67" spans="1:20" ht="15.75" customHeight="1" x14ac:dyDescent="0.2">
      <c r="A67" s="109" t="s">
        <v>110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1"/>
      <c r="S67" s="56"/>
      <c r="T67" s="56"/>
    </row>
    <row r="68" spans="1:20" ht="15.75" customHeight="1" x14ac:dyDescent="0.2">
      <c r="A68" s="110" t="s">
        <v>33</v>
      </c>
      <c r="B68" s="116">
        <f>IF((B2&gt;=FirstYearIncome),((SUM($B$59:$R$59)*Assumptions!$E$3)/(TotalYears-(FirstYearIncome-1))),0)</f>
        <v>0</v>
      </c>
      <c r="C68" s="116">
        <f>IF((C2&gt;=FirstYearIncome),((SUM($B$59:$R$59)*Assumptions!$E$3)/(TotalYears-(FirstYearIncome-1))),0)</f>
        <v>0</v>
      </c>
      <c r="D68" s="116">
        <f>IF((D2&gt;=FirstYearIncome),((SUM($B$59:$R$59)*Assumptions!$E$3)/(TotalYears-(FirstYearIncome-1))),0)</f>
        <v>0</v>
      </c>
      <c r="E68" s="116">
        <f>IF((E2&gt;=FirstYearIncome),((SUM($B$59:$R$59)*Assumptions!$E$3)/(TotalYears-(FirstYearIncome-1))),0)</f>
        <v>1008000</v>
      </c>
      <c r="F68" s="116">
        <f>IF((F2&gt;=FirstYearIncome),((SUM($B$59:$R$59)*Assumptions!$E$3)/(TotalYears-(FirstYearIncome-1))),0)</f>
        <v>1008000</v>
      </c>
      <c r="G68" s="116">
        <f>IF((G2&gt;=FirstYearIncome),((SUM($B$59:$R$59)*Assumptions!$E$3)/(TotalYears-(FirstYearIncome-1))),0)</f>
        <v>1008000</v>
      </c>
      <c r="H68" s="116">
        <f>IF((H2&gt;=FirstYearIncome),((SUM($B$59:$R$59)*Assumptions!$E$3)/(TotalYears-(FirstYearIncome-1))),0)</f>
        <v>1008000</v>
      </c>
      <c r="I68" s="116">
        <f>IF((I2&gt;=FirstYearIncome),((SUM($B$59:$R$59)*Assumptions!$E$3)/(TotalYears-(FirstYearIncome-1))),0)</f>
        <v>1008000</v>
      </c>
      <c r="J68" s="116">
        <f>IF((J2&gt;=FirstYearIncome),((SUM($B$59:$R$59)*Assumptions!$E$3)/(TotalYears-(FirstYearIncome-1))),0)</f>
        <v>1008000</v>
      </c>
      <c r="K68" s="116">
        <f>IF((K2&gt;=FirstYearIncome),((SUM($B$59:$R$59)*Assumptions!$E$3)/(TotalYears-(FirstYearIncome-1))),0)</f>
        <v>1008000</v>
      </c>
      <c r="L68" s="116">
        <f>IF((L2&gt;=FirstYearIncome),((SUM($B$59:$R$59)*Assumptions!$E$3)/(TotalYears-(FirstYearIncome-1))),0)</f>
        <v>1008000</v>
      </c>
      <c r="M68" s="116">
        <f>IF((M2&gt;=FirstYearIncome),((SUM($B$59:$R$59)*Assumptions!$E$3)/(TotalYears-(FirstYearIncome-1))),0)</f>
        <v>1008000</v>
      </c>
      <c r="N68" s="116">
        <f>IF((N2&gt;=FirstYearIncome),((SUM($B$59:$R$59)*Assumptions!$E$3)/(TotalYears-(FirstYearIncome-1))),0)</f>
        <v>1008000</v>
      </c>
      <c r="O68" s="116">
        <f>IF((O2&gt;=FirstYearIncome),((SUM($B$59:$R$59)*Assumptions!$E$3)/(TotalYears-(FirstYearIncome-1))),0)</f>
        <v>1008000</v>
      </c>
      <c r="P68" s="116">
        <f>IF((P2&gt;=FirstYearIncome),((SUM($B$59:$R$59)*Assumptions!$E$3)/(TotalYears-(FirstYearIncome-1))),0)</f>
        <v>1008000</v>
      </c>
      <c r="Q68" s="116">
        <f>IF((Q2&gt;=FirstYearIncome),((SUM($B$59:$R$59)*Assumptions!$E$3)/(TotalYears-(FirstYearIncome-1))),0)</f>
        <v>1008000</v>
      </c>
      <c r="R68" s="117"/>
      <c r="S68" s="56"/>
      <c r="T68" s="56"/>
    </row>
    <row r="69" spans="1:20" ht="15.75" customHeight="1" x14ac:dyDescent="0.2">
      <c r="A69" s="111" t="s">
        <v>80</v>
      </c>
      <c r="B69" s="118">
        <f>IF((B2&gt;=FirstYearIncome),((SUM($B$62:$R$62)*Assumptions!$E$3)/(TotalYears-(FirstYearIncome-1))),0)</f>
        <v>0</v>
      </c>
      <c r="C69" s="118">
        <f>IF((C2&gt;=FirstYearIncome),((SUM($B$62:$R$62)*Assumptions!$E$3)/(TotalYears-(FirstYearIncome-1))),0)</f>
        <v>0</v>
      </c>
      <c r="D69" s="118">
        <f>IF((D2&gt;=FirstYearIncome),((SUM($B$62:$R$62)*Assumptions!$E$3)/(TotalYears-(FirstYearIncome-1))),0)</f>
        <v>0</v>
      </c>
      <c r="E69" s="118">
        <f>IF((E2&gt;=FirstYearIncome),((SUM($B$62:$R$62)*Assumptions!$E$3)/(TotalYears-(FirstYearIncome-1))),0)</f>
        <v>350990.76923076925</v>
      </c>
      <c r="F69" s="118">
        <f>IF((F2&gt;=FirstYearIncome),((SUM($B$62:$R$62)*Assumptions!$E$3)/(TotalYears-(FirstYearIncome-1))),0)</f>
        <v>350990.76923076925</v>
      </c>
      <c r="G69" s="118">
        <f>IF((G2&gt;=FirstYearIncome),((SUM($B$62:$R$62)*Assumptions!$E$3)/(TotalYears-(FirstYearIncome-1))),0)</f>
        <v>350990.76923076925</v>
      </c>
      <c r="H69" s="118">
        <f>IF((H2&gt;=FirstYearIncome),((SUM($B$62:$R$62)*Assumptions!$E$3)/(TotalYears-(FirstYearIncome-1))),0)</f>
        <v>350990.76923076925</v>
      </c>
      <c r="I69" s="118">
        <f>IF((I2&gt;=FirstYearIncome),((SUM($B$62:$R$62)*Assumptions!$E$3)/(TotalYears-(FirstYearIncome-1))),0)</f>
        <v>350990.76923076925</v>
      </c>
      <c r="J69" s="118">
        <f>IF((J2&gt;=FirstYearIncome),((SUM($B$62:$R$62)*Assumptions!$E$3)/(TotalYears-(FirstYearIncome-1))),0)</f>
        <v>350990.76923076925</v>
      </c>
      <c r="K69" s="118">
        <f>IF((K2&gt;=FirstYearIncome),((SUM($B$62:$R$62)*Assumptions!$E$3)/(TotalYears-(FirstYearIncome-1))),0)</f>
        <v>350990.76923076925</v>
      </c>
      <c r="L69" s="118">
        <f>IF((L2&gt;=FirstYearIncome),((SUM($B$62:$R$62)*Assumptions!$E$3)/(TotalYears-(FirstYearIncome-1))),0)</f>
        <v>350990.76923076925</v>
      </c>
      <c r="M69" s="118">
        <f>IF((M2&gt;=FirstYearIncome),((SUM($B$62:$R$62)*Assumptions!$E$3)/(TotalYears-(FirstYearIncome-1))),0)</f>
        <v>350990.76923076925</v>
      </c>
      <c r="N69" s="118">
        <f>IF((N2&gt;=FirstYearIncome),((SUM($B$62:$R$62)*Assumptions!$E$3)/(TotalYears-(FirstYearIncome-1))),0)</f>
        <v>350990.76923076925</v>
      </c>
      <c r="O69" s="118">
        <f>IF((O2&gt;=FirstYearIncome),((SUM($B$62:$R$62)*Assumptions!$E$3)/(TotalYears-(FirstYearIncome-1))),0)</f>
        <v>350990.76923076925</v>
      </c>
      <c r="P69" s="118">
        <f>IF((P2&gt;=FirstYearIncome),((SUM($B$62:$R$62)*Assumptions!$E$3)/(TotalYears-(FirstYearIncome-1))),0)</f>
        <v>350990.76923076925</v>
      </c>
      <c r="Q69" s="118">
        <f>IF((Q2&gt;=FirstYearIncome),((SUM($B$62:$R$62)*Assumptions!$E$3)/(TotalYears-(FirstYearIncome-1))),0)</f>
        <v>350990.76923076925</v>
      </c>
      <c r="R69" s="119"/>
      <c r="S69" s="56"/>
      <c r="T69" s="56"/>
    </row>
    <row r="70" spans="1:20" ht="15.75" customHeight="1" x14ac:dyDescent="0.2">
      <c r="A70" s="110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31"/>
      <c r="O70" s="131"/>
      <c r="P70" s="131"/>
      <c r="Q70" s="131"/>
      <c r="R70" s="132"/>
      <c r="S70" s="56"/>
      <c r="T70" s="56"/>
    </row>
    <row r="71" spans="1:20" ht="15.75" customHeight="1" x14ac:dyDescent="0.2">
      <c r="A71" s="109" t="s">
        <v>111</v>
      </c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1"/>
      <c r="S71" s="56"/>
      <c r="T71" s="56"/>
    </row>
    <row r="72" spans="1:20" ht="15.75" customHeight="1" x14ac:dyDescent="0.2">
      <c r="A72" s="111" t="s">
        <v>112</v>
      </c>
      <c r="B72" s="118">
        <f>B51-(SUM(B54:B69))</f>
        <v>-36806000</v>
      </c>
      <c r="C72" s="118">
        <f>C51-(SUM(C54:C69))</f>
        <v>-36806000</v>
      </c>
      <c r="D72" s="118">
        <f t="shared" ref="D72:K72" si="30">D51-(SUM(D54:D69))</f>
        <v>-36806000</v>
      </c>
      <c r="E72" s="118">
        <f>E51-(SUM(E54:E69))</f>
        <v>286298.46376923006</v>
      </c>
      <c r="F72" s="118">
        <f t="shared" si="30"/>
        <v>611305.78660923149</v>
      </c>
      <c r="G72" s="118">
        <f t="shared" si="30"/>
        <v>861789.05898483004</v>
      </c>
      <c r="H72" s="118">
        <f t="shared" si="30"/>
        <v>1119141.2949207081</v>
      </c>
      <c r="I72" s="118">
        <f t="shared" si="30"/>
        <v>1383555.6526314477</v>
      </c>
      <c r="J72" s="118">
        <f t="shared" si="30"/>
        <v>1655230.8268642342</v>
      </c>
      <c r="K72" s="118">
        <f t="shared" si="30"/>
        <v>1934371.2098305421</v>
      </c>
      <c r="L72" s="118">
        <f>L51-(SUM(L54:L69))</f>
        <v>2221187.0568625079</v>
      </c>
      <c r="M72" s="118">
        <f t="shared" ref="M72:Q72" si="31">M51-(SUM(M54:M69))</f>
        <v>2515894.6569336345</v>
      </c>
      <c r="N72" s="118">
        <f t="shared" si="31"/>
        <v>2818716.5081876656</v>
      </c>
      <c r="O72" s="118">
        <f t="shared" si="31"/>
        <v>3129881.498623698</v>
      </c>
      <c r="P72" s="118">
        <f t="shared" si="31"/>
        <v>3449625.0920900786</v>
      </c>
      <c r="Q72" s="118">
        <f t="shared" si="31"/>
        <v>144030484.44713867</v>
      </c>
      <c r="R72" s="119"/>
      <c r="S72" s="56"/>
      <c r="T72" s="56"/>
    </row>
    <row r="73" spans="1:20" ht="15.75" customHeight="1" x14ac:dyDescent="0.2">
      <c r="A73" s="10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57"/>
      <c r="O73" s="57"/>
      <c r="P73" s="57"/>
      <c r="Q73" s="57"/>
      <c r="R73" s="57"/>
      <c r="S73" s="56"/>
      <c r="T73" s="56"/>
    </row>
    <row r="74" spans="1:20" ht="22.5" customHeight="1" x14ac:dyDescent="0.25">
      <c r="A74" s="34" t="s">
        <v>113</v>
      </c>
      <c r="B74" s="35">
        <f>IRR(A72:R72)</f>
        <v>3.1059047738685619E-2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57"/>
      <c r="O74" s="57"/>
      <c r="P74" s="57"/>
      <c r="Q74" s="57"/>
      <c r="R74" s="57"/>
      <c r="S74" s="56"/>
      <c r="T74" s="56"/>
    </row>
    <row r="75" spans="1:20" ht="15.75" customHeight="1" x14ac:dyDescent="0.2"/>
    <row r="76" spans="1:20" ht="15.75" customHeight="1" x14ac:dyDescent="0.2"/>
    <row r="77" spans="1:20" ht="15.75" customHeight="1" x14ac:dyDescent="0.2"/>
    <row r="78" spans="1:20" ht="15.75" customHeight="1" x14ac:dyDescent="0.2"/>
    <row r="79" spans="1:20" ht="15.75" customHeight="1" x14ac:dyDescent="0.2"/>
    <row r="80" spans="1:2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F0FC-0972-4741-A38E-501BD8156F0D}">
  <dimension ref="A1:AH82"/>
  <sheetViews>
    <sheetView showGridLines="0" topLeftCell="B1" zoomScale="67" zoomScaleNormal="67" workbookViewId="0">
      <selection activeCell="B1" sqref="B1"/>
    </sheetView>
  </sheetViews>
  <sheetFormatPr baseColWidth="10" defaultColWidth="8.85546875" defaultRowHeight="16" x14ac:dyDescent="0.2"/>
  <cols>
    <col min="1" max="2" width="8.85546875" style="14"/>
    <col min="3" max="3" width="31.85546875" style="14" bestFit="1" customWidth="1"/>
    <col min="4" max="4" width="15" style="14" bestFit="1" customWidth="1"/>
    <col min="5" max="5" width="14.5703125" style="14" customWidth="1"/>
    <col min="6" max="6" width="14.7109375" style="14" customWidth="1"/>
    <col min="7" max="7" width="19.5703125" style="14" bestFit="1" customWidth="1"/>
    <col min="8" max="18" width="14.5703125" style="14" bestFit="1" customWidth="1"/>
    <col min="19" max="19" width="15.85546875" style="14" customWidth="1"/>
    <col min="20" max="33" width="13.5703125" style="14" bestFit="1" customWidth="1"/>
    <col min="34" max="34" width="12.5703125" style="14" bestFit="1" customWidth="1"/>
    <col min="35" max="16384" width="8.85546875" style="14"/>
  </cols>
  <sheetData>
    <row r="1" spans="1:34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34" ht="16.75" customHeight="1" x14ac:dyDescent="0.2">
      <c r="A2" s="40"/>
      <c r="B2" s="40"/>
      <c r="C2" s="197" t="s">
        <v>11</v>
      </c>
      <c r="D2" s="197"/>
      <c r="E2" s="40"/>
      <c r="F2" s="40"/>
      <c r="G2" s="198" t="s">
        <v>179</v>
      </c>
      <c r="H2" s="199"/>
      <c r="I2" s="40"/>
      <c r="J2" s="198" t="s">
        <v>180</v>
      </c>
      <c r="K2" s="199"/>
      <c r="L2" s="40"/>
      <c r="M2" s="40"/>
      <c r="N2" s="40"/>
      <c r="O2" s="40"/>
      <c r="P2" s="40"/>
    </row>
    <row r="3" spans="1:34" x14ac:dyDescent="0.2">
      <c r="A3" s="40"/>
      <c r="B3" s="40"/>
      <c r="C3" s="75" t="s">
        <v>181</v>
      </c>
      <c r="D3" s="79">
        <f>Assumptions!B8</f>
        <v>73640250</v>
      </c>
      <c r="E3" s="40"/>
      <c r="F3" s="40"/>
      <c r="G3" s="75" t="s">
        <v>182</v>
      </c>
      <c r="H3" s="78">
        <v>0.01</v>
      </c>
      <c r="I3" s="40"/>
      <c r="J3" s="75" t="s">
        <v>183</v>
      </c>
      <c r="K3" s="76">
        <v>0.6</v>
      </c>
      <c r="L3" s="40"/>
      <c r="M3" s="40"/>
      <c r="N3" s="40"/>
      <c r="O3" s="40"/>
      <c r="P3" s="40"/>
    </row>
    <row r="4" spans="1:34" x14ac:dyDescent="0.2">
      <c r="A4" s="40"/>
      <c r="B4" s="40"/>
      <c r="C4" s="75" t="s">
        <v>184</v>
      </c>
      <c r="D4" s="80">
        <f>Assumptions!E43+Assumptions!E40</f>
        <v>88334400</v>
      </c>
      <c r="E4" s="40"/>
      <c r="F4" s="40"/>
      <c r="G4" s="75" t="s">
        <v>255</v>
      </c>
      <c r="H4" s="75">
        <v>18</v>
      </c>
      <c r="I4" s="40"/>
      <c r="J4" s="75" t="s">
        <v>185</v>
      </c>
      <c r="K4" s="77">
        <f>K3*purchaseprice</f>
        <v>44184150</v>
      </c>
      <c r="L4" s="40"/>
      <c r="M4" s="40"/>
      <c r="N4" s="40"/>
      <c r="O4" s="40"/>
      <c r="P4" s="40"/>
    </row>
    <row r="5" spans="1:34" x14ac:dyDescent="0.2">
      <c r="A5" s="40"/>
      <c r="B5" s="40"/>
      <c r="C5" s="75" t="s">
        <v>186</v>
      </c>
      <c r="D5" s="81">
        <v>0.21</v>
      </c>
      <c r="E5" s="40"/>
      <c r="F5" s="40"/>
      <c r="G5" s="75" t="s">
        <v>187</v>
      </c>
      <c r="H5" s="81">
        <f>CapRate</f>
        <v>0.05</v>
      </c>
      <c r="I5" s="40"/>
      <c r="J5" s="75" t="s">
        <v>188</v>
      </c>
      <c r="K5" s="78">
        <v>4.4999999999999998E-2</v>
      </c>
      <c r="L5" s="40"/>
      <c r="M5" s="40"/>
      <c r="N5" s="40"/>
      <c r="O5" s="40"/>
      <c r="P5" s="40"/>
    </row>
    <row r="6" spans="1:34" x14ac:dyDescent="0.2">
      <c r="A6" s="40"/>
      <c r="B6" s="40"/>
      <c r="C6" s="75" t="s">
        <v>189</v>
      </c>
      <c r="D6" s="81">
        <v>0.15</v>
      </c>
      <c r="E6" s="40"/>
      <c r="F6" s="40"/>
      <c r="G6" s="75" t="s">
        <v>190</v>
      </c>
      <c r="H6" s="78">
        <f>H5</f>
        <v>0.05</v>
      </c>
      <c r="I6" s="40"/>
      <c r="J6" s="75" t="s">
        <v>191</v>
      </c>
      <c r="K6" s="77">
        <f>PMT(K5,K7,-K4)</f>
        <v>2712533.1406047163</v>
      </c>
      <c r="L6" s="40"/>
      <c r="M6" s="40"/>
      <c r="N6" s="40"/>
      <c r="O6" s="40"/>
      <c r="P6" s="40"/>
    </row>
    <row r="7" spans="1:34" x14ac:dyDescent="0.2">
      <c r="A7" s="40"/>
      <c r="B7" s="40"/>
      <c r="C7" s="75" t="s">
        <v>192</v>
      </c>
      <c r="D7" s="81">
        <v>0.25</v>
      </c>
      <c r="E7" s="40"/>
      <c r="F7" s="40"/>
      <c r="G7" s="40"/>
      <c r="H7" s="40"/>
      <c r="I7" s="40"/>
      <c r="J7" s="75" t="s">
        <v>241</v>
      </c>
      <c r="K7" s="75">
        <v>30</v>
      </c>
      <c r="L7" s="40"/>
      <c r="M7" s="40"/>
      <c r="N7" s="40"/>
      <c r="O7" s="40"/>
      <c r="P7" s="40"/>
    </row>
    <row r="8" spans="1:34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34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</row>
    <row r="10" spans="1:34" x14ac:dyDescent="0.2">
      <c r="A10" s="40"/>
      <c r="B10" s="40"/>
      <c r="C10" s="40"/>
      <c r="D10" s="40"/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34" ht="18" x14ac:dyDescent="0.2">
      <c r="A11" s="40"/>
      <c r="B11" s="40"/>
      <c r="C11" s="138" t="s">
        <v>90</v>
      </c>
      <c r="D11" s="114">
        <v>0</v>
      </c>
      <c r="E11" s="114">
        <v>1</v>
      </c>
      <c r="F11" s="114">
        <v>2</v>
      </c>
      <c r="G11" s="114">
        <v>3</v>
      </c>
      <c r="H11" s="114">
        <v>4</v>
      </c>
      <c r="I11" s="114">
        <v>5</v>
      </c>
      <c r="J11" s="114">
        <v>6</v>
      </c>
      <c r="K11" s="114">
        <v>7</v>
      </c>
      <c r="L11" s="114">
        <v>8</v>
      </c>
      <c r="M11" s="114">
        <v>9</v>
      </c>
      <c r="N11" s="114">
        <v>10</v>
      </c>
      <c r="O11" s="114">
        <v>11</v>
      </c>
      <c r="P11" s="114">
        <v>12</v>
      </c>
      <c r="Q11" s="114">
        <v>13</v>
      </c>
      <c r="R11" s="114">
        <v>14</v>
      </c>
      <c r="S11" s="114">
        <v>15</v>
      </c>
      <c r="T11" s="114">
        <v>16</v>
      </c>
      <c r="U11" s="114">
        <v>17</v>
      </c>
      <c r="V11" s="114">
        <v>18</v>
      </c>
      <c r="W11" s="114">
        <v>19</v>
      </c>
      <c r="X11" s="114">
        <v>20</v>
      </c>
      <c r="Y11" s="114">
        <v>21</v>
      </c>
      <c r="Z11" s="114">
        <v>22</v>
      </c>
      <c r="AA11" s="114">
        <v>23</v>
      </c>
      <c r="AB11" s="114">
        <v>24</v>
      </c>
      <c r="AC11" s="114">
        <v>25</v>
      </c>
      <c r="AD11" s="114">
        <v>26</v>
      </c>
      <c r="AE11" s="114">
        <v>27</v>
      </c>
      <c r="AF11" s="114">
        <v>28</v>
      </c>
      <c r="AG11" s="114">
        <v>29</v>
      </c>
      <c r="AH11" s="115">
        <v>30</v>
      </c>
    </row>
    <row r="12" spans="1:34" x14ac:dyDescent="0.2">
      <c r="A12" s="40"/>
      <c r="B12" s="40"/>
      <c r="C12" s="135" t="s">
        <v>194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133"/>
    </row>
    <row r="13" spans="1:34" x14ac:dyDescent="0.2">
      <c r="A13" s="40"/>
      <c r="B13" s="40"/>
      <c r="C13" s="136" t="s">
        <v>195</v>
      </c>
      <c r="D13" s="43"/>
      <c r="E13" s="41">
        <f t="shared" ref="E13:AH13" si="0">$K$6</f>
        <v>2712533.1406047163</v>
      </c>
      <c r="F13" s="41">
        <f t="shared" si="0"/>
        <v>2712533.1406047163</v>
      </c>
      <c r="G13" s="41">
        <f t="shared" si="0"/>
        <v>2712533.1406047163</v>
      </c>
      <c r="H13" s="41">
        <f t="shared" si="0"/>
        <v>2712533.1406047163</v>
      </c>
      <c r="I13" s="41">
        <f t="shared" si="0"/>
        <v>2712533.1406047163</v>
      </c>
      <c r="J13" s="41">
        <f t="shared" si="0"/>
        <v>2712533.1406047163</v>
      </c>
      <c r="K13" s="41">
        <f t="shared" si="0"/>
        <v>2712533.1406047163</v>
      </c>
      <c r="L13" s="41">
        <f t="shared" si="0"/>
        <v>2712533.1406047163</v>
      </c>
      <c r="M13" s="41">
        <f t="shared" si="0"/>
        <v>2712533.1406047163</v>
      </c>
      <c r="N13" s="41">
        <f t="shared" si="0"/>
        <v>2712533.1406047163</v>
      </c>
      <c r="O13" s="41">
        <f t="shared" si="0"/>
        <v>2712533.1406047163</v>
      </c>
      <c r="P13" s="41">
        <f t="shared" si="0"/>
        <v>2712533.1406047163</v>
      </c>
      <c r="Q13" s="41">
        <f t="shared" si="0"/>
        <v>2712533.1406047163</v>
      </c>
      <c r="R13" s="41">
        <f t="shared" si="0"/>
        <v>2712533.1406047163</v>
      </c>
      <c r="S13" s="41">
        <f t="shared" si="0"/>
        <v>2712533.1406047163</v>
      </c>
      <c r="T13" s="41">
        <f t="shared" si="0"/>
        <v>2712533.1406047163</v>
      </c>
      <c r="U13" s="41">
        <f t="shared" si="0"/>
        <v>2712533.1406047163</v>
      </c>
      <c r="V13" s="41">
        <f t="shared" si="0"/>
        <v>2712533.1406047163</v>
      </c>
      <c r="W13" s="41">
        <f t="shared" si="0"/>
        <v>2712533.1406047163</v>
      </c>
      <c r="X13" s="41">
        <f t="shared" si="0"/>
        <v>2712533.1406047163</v>
      </c>
      <c r="Y13" s="41">
        <f t="shared" si="0"/>
        <v>2712533.1406047163</v>
      </c>
      <c r="Z13" s="41">
        <f t="shared" si="0"/>
        <v>2712533.1406047163</v>
      </c>
      <c r="AA13" s="41">
        <f t="shared" si="0"/>
        <v>2712533.1406047163</v>
      </c>
      <c r="AB13" s="41">
        <f t="shared" si="0"/>
        <v>2712533.1406047163</v>
      </c>
      <c r="AC13" s="41">
        <f t="shared" si="0"/>
        <v>2712533.1406047163</v>
      </c>
      <c r="AD13" s="41">
        <f t="shared" si="0"/>
        <v>2712533.1406047163</v>
      </c>
      <c r="AE13" s="41">
        <f t="shared" si="0"/>
        <v>2712533.1406047163</v>
      </c>
      <c r="AF13" s="41">
        <f t="shared" si="0"/>
        <v>2712533.1406047163</v>
      </c>
      <c r="AG13" s="41">
        <f t="shared" si="0"/>
        <v>2712533.1406047163</v>
      </c>
      <c r="AH13" s="134">
        <f t="shared" si="0"/>
        <v>2712533.1406047163</v>
      </c>
    </row>
    <row r="14" spans="1:34" x14ac:dyDescent="0.2">
      <c r="A14" s="40"/>
      <c r="B14" s="40"/>
      <c r="C14" s="136" t="s">
        <v>196</v>
      </c>
      <c r="D14" s="43"/>
      <c r="E14" s="41">
        <f t="shared" ref="E14:AH14" si="1">$K$5*D17</f>
        <v>1988286.75</v>
      </c>
      <c r="F14" s="41">
        <f t="shared" si="1"/>
        <v>1955695.6624227876</v>
      </c>
      <c r="G14" s="41">
        <f t="shared" si="1"/>
        <v>1921637.9759046007</v>
      </c>
      <c r="H14" s="41">
        <f t="shared" si="1"/>
        <v>1886047.6934930957</v>
      </c>
      <c r="I14" s="41">
        <f t="shared" si="1"/>
        <v>1848855.8483730727</v>
      </c>
      <c r="J14" s="41">
        <f t="shared" si="1"/>
        <v>1809990.3702226488</v>
      </c>
      <c r="K14" s="41">
        <f t="shared" si="1"/>
        <v>1769375.9455554557</v>
      </c>
      <c r="L14" s="41">
        <f t="shared" si="1"/>
        <v>1726933.8717782388</v>
      </c>
      <c r="M14" s="41">
        <f t="shared" si="1"/>
        <v>1682581.9046810474</v>
      </c>
      <c r="N14" s="41">
        <f t="shared" si="1"/>
        <v>1636234.0990644821</v>
      </c>
      <c r="O14" s="41">
        <f t="shared" si="1"/>
        <v>1587800.6421951717</v>
      </c>
      <c r="P14" s="41">
        <f t="shared" si="1"/>
        <v>1537187.679766742</v>
      </c>
      <c r="Q14" s="41">
        <f t="shared" si="1"/>
        <v>1484297.1340290331</v>
      </c>
      <c r="R14" s="41">
        <f t="shared" si="1"/>
        <v>1429026.5137331276</v>
      </c>
      <c r="S14" s="41">
        <f t="shared" si="1"/>
        <v>1371268.7155239061</v>
      </c>
      <c r="T14" s="41">
        <f t="shared" si="1"/>
        <v>1310911.8163952695</v>
      </c>
      <c r="U14" s="41">
        <f t="shared" si="1"/>
        <v>1247838.8568058445</v>
      </c>
      <c r="V14" s="41">
        <f t="shared" si="1"/>
        <v>1181927.6140348951</v>
      </c>
      <c r="W14" s="41">
        <f t="shared" si="1"/>
        <v>1113050.3653392531</v>
      </c>
      <c r="X14" s="41">
        <f t="shared" si="1"/>
        <v>1041073.6404523073</v>
      </c>
      <c r="Y14" s="41">
        <f t="shared" si="1"/>
        <v>965857.96294544893</v>
      </c>
      <c r="Z14" s="41">
        <f t="shared" si="1"/>
        <v>887257.579950782</v>
      </c>
      <c r="AA14" s="41">
        <f t="shared" si="1"/>
        <v>805120.17972135486</v>
      </c>
      <c r="AB14" s="41">
        <f t="shared" si="1"/>
        <v>719286.59648160369</v>
      </c>
      <c r="AC14" s="41">
        <f t="shared" si="1"/>
        <v>629590.50199606351</v>
      </c>
      <c r="AD14" s="41">
        <f t="shared" si="1"/>
        <v>535858.08325867413</v>
      </c>
      <c r="AE14" s="41">
        <f t="shared" si="1"/>
        <v>437907.70567810227</v>
      </c>
      <c r="AF14" s="41">
        <f t="shared" si="1"/>
        <v>335549.56110640464</v>
      </c>
      <c r="AG14" s="41">
        <f t="shared" si="1"/>
        <v>228585.30002898062</v>
      </c>
      <c r="AH14" s="134">
        <f t="shared" si="1"/>
        <v>116807.64720307253</v>
      </c>
    </row>
    <row r="15" spans="1:34" x14ac:dyDescent="0.2">
      <c r="A15" s="40"/>
      <c r="B15" s="40"/>
      <c r="C15" s="136" t="s">
        <v>197</v>
      </c>
      <c r="D15" s="43"/>
      <c r="E15" s="41">
        <f>E14+E13</f>
        <v>4700819.8906047158</v>
      </c>
      <c r="F15" s="41">
        <f t="shared" ref="F15:AH15" si="2">F14+F13</f>
        <v>4668228.8030275041</v>
      </c>
      <c r="G15" s="41">
        <f t="shared" si="2"/>
        <v>4634171.1165093165</v>
      </c>
      <c r="H15" s="41">
        <f t="shared" si="2"/>
        <v>4598580.834097812</v>
      </c>
      <c r="I15" s="41">
        <f t="shared" si="2"/>
        <v>4561388.9889777889</v>
      </c>
      <c r="J15" s="41">
        <f t="shared" si="2"/>
        <v>4522523.5108273653</v>
      </c>
      <c r="K15" s="41">
        <f t="shared" si="2"/>
        <v>4481909.0861601718</v>
      </c>
      <c r="L15" s="41">
        <f t="shared" si="2"/>
        <v>4439467.0123829553</v>
      </c>
      <c r="M15" s="41">
        <f t="shared" si="2"/>
        <v>4395115.0452857632</v>
      </c>
      <c r="N15" s="41">
        <f t="shared" si="2"/>
        <v>4348767.2396691982</v>
      </c>
      <c r="O15" s="41">
        <f t="shared" si="2"/>
        <v>4300333.7827998884</v>
      </c>
      <c r="P15" s="41">
        <f t="shared" si="2"/>
        <v>4249720.8203714583</v>
      </c>
      <c r="Q15" s="41">
        <f t="shared" si="2"/>
        <v>4196830.2746337494</v>
      </c>
      <c r="R15" s="41">
        <f t="shared" si="2"/>
        <v>4141559.6543378439</v>
      </c>
      <c r="S15" s="41">
        <f t="shared" si="2"/>
        <v>4083801.8561286223</v>
      </c>
      <c r="T15" s="41">
        <f t="shared" si="2"/>
        <v>4023444.9569999855</v>
      </c>
      <c r="U15" s="41">
        <f t="shared" si="2"/>
        <v>3960371.997410561</v>
      </c>
      <c r="V15" s="41">
        <f t="shared" si="2"/>
        <v>3894460.7546396116</v>
      </c>
      <c r="W15" s="41">
        <f t="shared" si="2"/>
        <v>3825583.5059439694</v>
      </c>
      <c r="X15" s="41">
        <f t="shared" si="2"/>
        <v>3753606.7810570234</v>
      </c>
      <c r="Y15" s="41">
        <f t="shared" si="2"/>
        <v>3678391.103550165</v>
      </c>
      <c r="Z15" s="41">
        <f t="shared" si="2"/>
        <v>3599790.7205554983</v>
      </c>
      <c r="AA15" s="41">
        <f t="shared" si="2"/>
        <v>3517653.3203260712</v>
      </c>
      <c r="AB15" s="41">
        <f t="shared" si="2"/>
        <v>3431819.7370863198</v>
      </c>
      <c r="AC15" s="41">
        <f t="shared" si="2"/>
        <v>3342123.6426007799</v>
      </c>
      <c r="AD15" s="41">
        <f t="shared" si="2"/>
        <v>3248391.2238633903</v>
      </c>
      <c r="AE15" s="41">
        <f t="shared" si="2"/>
        <v>3150440.8462828184</v>
      </c>
      <c r="AF15" s="41">
        <f t="shared" si="2"/>
        <v>3048082.701711121</v>
      </c>
      <c r="AG15" s="41">
        <f t="shared" si="2"/>
        <v>2941118.440633697</v>
      </c>
      <c r="AH15" s="134">
        <f t="shared" si="2"/>
        <v>2829340.7878077887</v>
      </c>
    </row>
    <row r="16" spans="1:34" x14ac:dyDescent="0.2">
      <c r="A16" s="40"/>
      <c r="B16" s="40"/>
      <c r="C16" s="136" t="s">
        <v>242</v>
      </c>
      <c r="D16" s="43"/>
      <c r="E16" s="41">
        <f>E13-E14</f>
        <v>724246.39060471626</v>
      </c>
      <c r="F16" s="41">
        <f t="shared" ref="F16:AH16" si="3">F13-F14</f>
        <v>756837.47818192863</v>
      </c>
      <c r="G16" s="41">
        <f t="shared" si="3"/>
        <v>790895.16470011557</v>
      </c>
      <c r="H16" s="41">
        <f t="shared" si="3"/>
        <v>826485.44711162057</v>
      </c>
      <c r="I16" s="41">
        <f t="shared" si="3"/>
        <v>863677.29223164357</v>
      </c>
      <c r="J16" s="41">
        <f t="shared" si="3"/>
        <v>902542.77038206742</v>
      </c>
      <c r="K16" s="41">
        <f t="shared" si="3"/>
        <v>943157.19504926051</v>
      </c>
      <c r="L16" s="41">
        <f t="shared" si="3"/>
        <v>985599.26882647746</v>
      </c>
      <c r="M16" s="41">
        <f t="shared" si="3"/>
        <v>1029951.2359236688</v>
      </c>
      <c r="N16" s="41">
        <f t="shared" si="3"/>
        <v>1076299.0415402341</v>
      </c>
      <c r="O16" s="41">
        <f t="shared" si="3"/>
        <v>1124732.4984095446</v>
      </c>
      <c r="P16" s="41">
        <f t="shared" si="3"/>
        <v>1175345.4608379742</v>
      </c>
      <c r="Q16" s="41">
        <f t="shared" si="3"/>
        <v>1228236.0065756831</v>
      </c>
      <c r="R16" s="41">
        <f t="shared" si="3"/>
        <v>1283506.6268715886</v>
      </c>
      <c r="S16" s="41">
        <f t="shared" si="3"/>
        <v>1341264.4250808102</v>
      </c>
      <c r="T16" s="41">
        <f t="shared" si="3"/>
        <v>1401621.3242094468</v>
      </c>
      <c r="U16" s="41">
        <f t="shared" si="3"/>
        <v>1464694.2837988718</v>
      </c>
      <c r="V16" s="41">
        <f t="shared" si="3"/>
        <v>1530605.5265698212</v>
      </c>
      <c r="W16" s="41">
        <f t="shared" si="3"/>
        <v>1599482.7752654632</v>
      </c>
      <c r="X16" s="41">
        <f t="shared" si="3"/>
        <v>1671459.5001524091</v>
      </c>
      <c r="Y16" s="41">
        <f t="shared" si="3"/>
        <v>1746675.1776592673</v>
      </c>
      <c r="Z16" s="41">
        <f t="shared" si="3"/>
        <v>1825275.5606539343</v>
      </c>
      <c r="AA16" s="41">
        <f t="shared" si="3"/>
        <v>1907412.9608833613</v>
      </c>
      <c r="AB16" s="41">
        <f t="shared" si="3"/>
        <v>1993246.5441231127</v>
      </c>
      <c r="AC16" s="41">
        <f t="shared" si="3"/>
        <v>2082942.6386086526</v>
      </c>
      <c r="AD16" s="41">
        <f t="shared" si="3"/>
        <v>2176675.0573460422</v>
      </c>
      <c r="AE16" s="41">
        <f t="shared" si="3"/>
        <v>2274625.4349266142</v>
      </c>
      <c r="AF16" s="41">
        <f t="shared" si="3"/>
        <v>2376983.5794983115</v>
      </c>
      <c r="AG16" s="41">
        <f t="shared" si="3"/>
        <v>2483947.8405757356</v>
      </c>
      <c r="AH16" s="134">
        <f t="shared" si="3"/>
        <v>2595725.4934016438</v>
      </c>
    </row>
    <row r="17" spans="1:34" x14ac:dyDescent="0.2">
      <c r="A17" s="40"/>
      <c r="B17" s="40"/>
      <c r="C17" s="145" t="s">
        <v>198</v>
      </c>
      <c r="D17" s="146">
        <f>K4</f>
        <v>44184150</v>
      </c>
      <c r="E17" s="146">
        <f>D17-E16</f>
        <v>43459903.60939528</v>
      </c>
      <c r="F17" s="146">
        <f t="shared" ref="F17:Y17" si="4">E17-F16</f>
        <v>42703066.131213352</v>
      </c>
      <c r="G17" s="146">
        <f t="shared" si="4"/>
        <v>41912170.966513239</v>
      </c>
      <c r="H17" s="146">
        <f t="shared" si="4"/>
        <v>41085685.519401617</v>
      </c>
      <c r="I17" s="146">
        <f t="shared" si="4"/>
        <v>40222008.227169976</v>
      </c>
      <c r="J17" s="146">
        <f t="shared" si="4"/>
        <v>39319465.456787907</v>
      </c>
      <c r="K17" s="146">
        <f t="shared" si="4"/>
        <v>38376308.261738643</v>
      </c>
      <c r="L17" s="146">
        <f t="shared" si="4"/>
        <v>37390708.992912166</v>
      </c>
      <c r="M17" s="146">
        <f t="shared" si="4"/>
        <v>36360757.756988496</v>
      </c>
      <c r="N17" s="146">
        <f t="shared" si="4"/>
        <v>35284458.71544826</v>
      </c>
      <c r="O17" s="146">
        <f t="shared" si="4"/>
        <v>34159726.217038713</v>
      </c>
      <c r="P17" s="146">
        <f t="shared" si="4"/>
        <v>32984380.756200738</v>
      </c>
      <c r="Q17" s="146">
        <f t="shared" si="4"/>
        <v>31756144.749625057</v>
      </c>
      <c r="R17" s="146">
        <f t="shared" si="4"/>
        <v>30472638.122753467</v>
      </c>
      <c r="S17" s="146">
        <f t="shared" si="4"/>
        <v>29131373.697672658</v>
      </c>
      <c r="T17" s="146">
        <f t="shared" si="4"/>
        <v>27729752.37346321</v>
      </c>
      <c r="U17" s="146">
        <f t="shared" si="4"/>
        <v>26265058.089664336</v>
      </c>
      <c r="V17" s="146">
        <f t="shared" si="4"/>
        <v>24734452.563094515</v>
      </c>
      <c r="W17" s="146">
        <f t="shared" si="4"/>
        <v>23134969.787829053</v>
      </c>
      <c r="X17" s="146">
        <f t="shared" si="4"/>
        <v>21463510.287676644</v>
      </c>
      <c r="Y17" s="146">
        <f t="shared" si="4"/>
        <v>19716835.110017378</v>
      </c>
      <c r="Z17" s="146">
        <f>Y17-Z16</f>
        <v>17891559.549363442</v>
      </c>
      <c r="AA17" s="146">
        <f t="shared" ref="AA17" si="5">Z17-AA16</f>
        <v>15984146.588480081</v>
      </c>
      <c r="AB17" s="146">
        <f t="shared" ref="AB17" si="6">AA17-AB16</f>
        <v>13990900.044356968</v>
      </c>
      <c r="AC17" s="146">
        <f t="shared" ref="AC17" si="7">AB17-AC16</f>
        <v>11907957.405748315</v>
      </c>
      <c r="AD17" s="146">
        <f t="shared" ref="AD17" si="8">AC17-AD16</f>
        <v>9731282.3484022729</v>
      </c>
      <c r="AE17" s="146">
        <f t="shared" ref="AE17" si="9">AD17-AE16</f>
        <v>7456656.9134756587</v>
      </c>
      <c r="AF17" s="146">
        <f t="shared" ref="AF17" si="10">AE17-AF16</f>
        <v>5079673.3339773472</v>
      </c>
      <c r="AG17" s="146">
        <f t="shared" ref="AG17" si="11">AF17-AG16</f>
        <v>2595725.4934016117</v>
      </c>
      <c r="AH17" s="147">
        <f t="shared" ref="AH17" si="12">AG17-AH16</f>
        <v>-3.2130628824234009E-8</v>
      </c>
    </row>
    <row r="18" spans="1:34" x14ac:dyDescent="0.2">
      <c r="A18" s="40"/>
      <c r="B18" s="40"/>
      <c r="C18" s="57"/>
      <c r="D18" s="40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0"/>
      <c r="P18" s="40"/>
    </row>
    <row r="19" spans="1:34" ht="18" x14ac:dyDescent="0.2">
      <c r="A19" s="40"/>
      <c r="B19" s="40"/>
      <c r="C19" s="138" t="s">
        <v>90</v>
      </c>
      <c r="D19" s="114">
        <v>0</v>
      </c>
      <c r="E19" s="114">
        <v>1</v>
      </c>
      <c r="F19" s="114">
        <v>2</v>
      </c>
      <c r="G19" s="114">
        <v>3</v>
      </c>
      <c r="H19" s="114">
        <v>4</v>
      </c>
      <c r="I19" s="114">
        <v>5</v>
      </c>
      <c r="J19" s="114">
        <v>6</v>
      </c>
      <c r="K19" s="114">
        <v>7</v>
      </c>
      <c r="L19" s="114">
        <v>8</v>
      </c>
      <c r="M19" s="114">
        <v>9</v>
      </c>
      <c r="N19" s="114">
        <v>10</v>
      </c>
      <c r="O19" s="114">
        <v>11</v>
      </c>
      <c r="P19" s="114">
        <v>12</v>
      </c>
      <c r="Q19" s="114">
        <v>13</v>
      </c>
      <c r="R19" s="114">
        <v>14</v>
      </c>
      <c r="S19" s="114">
        <v>15</v>
      </c>
      <c r="T19" s="115">
        <v>16</v>
      </c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</row>
    <row r="20" spans="1:34" x14ac:dyDescent="0.2">
      <c r="A20" s="40"/>
      <c r="B20" s="40"/>
      <c r="C20" s="135" t="s">
        <v>199</v>
      </c>
      <c r="D20" s="40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0"/>
      <c r="P20" s="40"/>
      <c r="T20" s="133"/>
    </row>
    <row r="21" spans="1:34" x14ac:dyDescent="0.2">
      <c r="A21" s="40"/>
      <c r="B21" s="40"/>
      <c r="C21" s="136" t="s">
        <v>102</v>
      </c>
      <c r="D21" s="40"/>
      <c r="E21" s="41">
        <f>'Pro Forma'!C51</f>
        <v>0</v>
      </c>
      <c r="F21" s="41">
        <f>'Pro Forma'!D51</f>
        <v>0</v>
      </c>
      <c r="G21" s="41">
        <f>'Pro Forma'!E51</f>
        <v>3183089.2329999991</v>
      </c>
      <c r="H21" s="41">
        <f>'Pro Forma'!F51</f>
        <v>3508096.5558400005</v>
      </c>
      <c r="I21" s="41">
        <f>'Pro Forma'!G51</f>
        <v>3758579.8282155991</v>
      </c>
      <c r="J21" s="41">
        <f>'Pro Forma'!H51</f>
        <v>4015932.0641514771</v>
      </c>
      <c r="K21" s="41">
        <f>'Pro Forma'!I51</f>
        <v>4280346.4218622167</v>
      </c>
      <c r="L21" s="41">
        <f>'Pro Forma'!J51</f>
        <v>4552021.5960950032</v>
      </c>
      <c r="M21" s="41">
        <f>'Pro Forma'!K51</f>
        <v>4831161.9790613111</v>
      </c>
      <c r="N21" s="41">
        <f>'Pro Forma'!L51</f>
        <v>5117977.826093277</v>
      </c>
      <c r="O21" s="41">
        <f>'Pro Forma'!M51</f>
        <v>5412685.4261644036</v>
      </c>
      <c r="P21" s="41">
        <f>'Pro Forma'!N51</f>
        <v>5715507.2774184346</v>
      </c>
      <c r="Q21" s="41">
        <f>'Pro Forma'!O51</f>
        <v>6026672.267854467</v>
      </c>
      <c r="R21" s="41">
        <f>'Pro Forma'!P51</f>
        <v>6346415.8613208476</v>
      </c>
      <c r="S21" s="41">
        <f>'Pro Forma'!Q51</f>
        <v>146927275.21636945</v>
      </c>
      <c r="T21" s="134">
        <f>'Pro Forma'!R51</f>
        <v>7012614.7463697307</v>
      </c>
    </row>
    <row r="22" spans="1:34" x14ac:dyDescent="0.2">
      <c r="A22" s="40"/>
      <c r="B22" s="40"/>
      <c r="C22" s="136" t="s">
        <v>200</v>
      </c>
      <c r="D22" s="40"/>
      <c r="E22" s="41">
        <f>depcostbasis/deplife</f>
        <v>4907466.666666667</v>
      </c>
      <c r="F22" s="41">
        <f t="shared" ref="F22:S22" si="13">depcostbasis/deplife</f>
        <v>4907466.666666667</v>
      </c>
      <c r="G22" s="41">
        <f t="shared" si="13"/>
        <v>4907466.666666667</v>
      </c>
      <c r="H22" s="41">
        <f t="shared" si="13"/>
        <v>4907466.666666667</v>
      </c>
      <c r="I22" s="41">
        <f t="shared" si="13"/>
        <v>4907466.666666667</v>
      </c>
      <c r="J22" s="41">
        <f t="shared" si="13"/>
        <v>4907466.666666667</v>
      </c>
      <c r="K22" s="41">
        <f t="shared" si="13"/>
        <v>4907466.666666667</v>
      </c>
      <c r="L22" s="41">
        <f t="shared" si="13"/>
        <v>4907466.666666667</v>
      </c>
      <c r="M22" s="41">
        <f t="shared" si="13"/>
        <v>4907466.666666667</v>
      </c>
      <c r="N22" s="41">
        <f t="shared" si="13"/>
        <v>4907466.666666667</v>
      </c>
      <c r="O22" s="41">
        <f t="shared" si="13"/>
        <v>4907466.666666667</v>
      </c>
      <c r="P22" s="41">
        <f t="shared" si="13"/>
        <v>4907466.666666667</v>
      </c>
      <c r="Q22" s="41">
        <f t="shared" si="13"/>
        <v>4907466.666666667</v>
      </c>
      <c r="R22" s="41">
        <f t="shared" si="13"/>
        <v>4907466.666666667</v>
      </c>
      <c r="S22" s="41">
        <f t="shared" si="13"/>
        <v>4907466.666666667</v>
      </c>
      <c r="T22" s="134"/>
    </row>
    <row r="23" spans="1:34" ht="17" thickBot="1" x14ac:dyDescent="0.25">
      <c r="A23" s="40"/>
      <c r="B23" s="40"/>
      <c r="C23" s="136" t="s">
        <v>201</v>
      </c>
      <c r="D23" s="40"/>
      <c r="E23" s="45">
        <f>E14</f>
        <v>1988286.75</v>
      </c>
      <c r="F23" s="45">
        <f t="shared" ref="F23:N23" si="14">F14</f>
        <v>1955695.6624227876</v>
      </c>
      <c r="G23" s="45">
        <f t="shared" si="14"/>
        <v>1921637.9759046007</v>
      </c>
      <c r="H23" s="45">
        <f t="shared" si="14"/>
        <v>1886047.6934930957</v>
      </c>
      <c r="I23" s="45">
        <f t="shared" si="14"/>
        <v>1848855.8483730727</v>
      </c>
      <c r="J23" s="45">
        <f t="shared" si="14"/>
        <v>1809990.3702226488</v>
      </c>
      <c r="K23" s="45">
        <f t="shared" si="14"/>
        <v>1769375.9455554557</v>
      </c>
      <c r="L23" s="45">
        <f t="shared" si="14"/>
        <v>1726933.8717782388</v>
      </c>
      <c r="M23" s="45">
        <f t="shared" si="14"/>
        <v>1682581.9046810474</v>
      </c>
      <c r="N23" s="45">
        <f t="shared" si="14"/>
        <v>1636234.0990644821</v>
      </c>
      <c r="O23" s="45">
        <f t="shared" ref="O23:S23" si="15">O14</f>
        <v>1587800.6421951717</v>
      </c>
      <c r="P23" s="45">
        <f t="shared" si="15"/>
        <v>1537187.679766742</v>
      </c>
      <c r="Q23" s="45">
        <f t="shared" si="15"/>
        <v>1484297.1340290331</v>
      </c>
      <c r="R23" s="45">
        <f t="shared" si="15"/>
        <v>1429026.5137331276</v>
      </c>
      <c r="S23" s="45">
        <f t="shared" si="15"/>
        <v>1371268.7155239061</v>
      </c>
      <c r="T23" s="142"/>
    </row>
    <row r="24" spans="1:34" ht="17" thickTop="1" x14ac:dyDescent="0.2">
      <c r="A24" s="40"/>
      <c r="B24" s="40"/>
      <c r="C24" s="136" t="s">
        <v>202</v>
      </c>
      <c r="D24" s="40"/>
      <c r="E24" s="44">
        <f>E21-E22-E23</f>
        <v>-6895753.416666667</v>
      </c>
      <c r="F24" s="44">
        <f t="shared" ref="F24:N24" si="16">F21-F22-F23</f>
        <v>-6863162.3290894544</v>
      </c>
      <c r="G24" s="44">
        <f t="shared" si="16"/>
        <v>-3646015.4095712686</v>
      </c>
      <c r="H24" s="44">
        <f t="shared" si="16"/>
        <v>-3285417.8043197622</v>
      </c>
      <c r="I24" s="44">
        <f t="shared" si="16"/>
        <v>-2997742.6868241406</v>
      </c>
      <c r="J24" s="44">
        <f t="shared" si="16"/>
        <v>-2701524.9727378385</v>
      </c>
      <c r="K24" s="44">
        <f t="shared" si="16"/>
        <v>-2396496.1903599063</v>
      </c>
      <c r="L24" s="44">
        <f t="shared" si="16"/>
        <v>-2082378.9423499026</v>
      </c>
      <c r="M24" s="44">
        <f t="shared" si="16"/>
        <v>-1758886.5922864033</v>
      </c>
      <c r="N24" s="44">
        <f t="shared" si="16"/>
        <v>-1425722.9396378722</v>
      </c>
      <c r="O24" s="44">
        <f t="shared" ref="O24:S24" si="17">O21-O22-O23</f>
        <v>-1082581.8826974351</v>
      </c>
      <c r="P24" s="44">
        <f t="shared" si="17"/>
        <v>-729147.0690149744</v>
      </c>
      <c r="Q24" s="44">
        <f t="shared" si="17"/>
        <v>-365091.53284123307</v>
      </c>
      <c r="R24" s="44">
        <f t="shared" si="17"/>
        <v>9922.6809210530482</v>
      </c>
      <c r="S24" s="44">
        <f t="shared" si="17"/>
        <v>140648539.83417889</v>
      </c>
      <c r="T24" s="105"/>
    </row>
    <row r="25" spans="1:34" ht="17" thickBot="1" x14ac:dyDescent="0.25">
      <c r="A25" s="40"/>
      <c r="B25" s="40"/>
      <c r="C25" s="136" t="s">
        <v>203</v>
      </c>
      <c r="D25" s="40"/>
      <c r="E25" s="45">
        <f>OrdTax*E24</f>
        <v>-1448108.2175</v>
      </c>
      <c r="F25" s="45">
        <f t="shared" ref="F25:N25" si="18">OrdTax*F24</f>
        <v>-1441264.0891087854</v>
      </c>
      <c r="G25" s="45">
        <f t="shared" si="18"/>
        <v>-765663.23600996635</v>
      </c>
      <c r="H25" s="45">
        <f t="shared" si="18"/>
        <v>-689937.73890714999</v>
      </c>
      <c r="I25" s="45">
        <f t="shared" si="18"/>
        <v>-629525.96423306945</v>
      </c>
      <c r="J25" s="45">
        <f t="shared" si="18"/>
        <v>-567320.24427494605</v>
      </c>
      <c r="K25" s="45">
        <f t="shared" si="18"/>
        <v>-503264.19997558033</v>
      </c>
      <c r="L25" s="45">
        <f t="shared" si="18"/>
        <v>-437299.57789347955</v>
      </c>
      <c r="M25" s="45">
        <f t="shared" si="18"/>
        <v>-369366.1843801447</v>
      </c>
      <c r="N25" s="45">
        <f t="shared" si="18"/>
        <v>-299401.81732395315</v>
      </c>
      <c r="O25" s="45">
        <f t="shared" ref="O25:S25" si="19">OrdTax*O24</f>
        <v>-227342.19536646135</v>
      </c>
      <c r="P25" s="45">
        <f t="shared" si="19"/>
        <v>-153120.88449314461</v>
      </c>
      <c r="Q25" s="45">
        <f t="shared" si="19"/>
        <v>-76669.221896658943</v>
      </c>
      <c r="R25" s="45">
        <f t="shared" si="19"/>
        <v>2083.76299342114</v>
      </c>
      <c r="S25" s="45">
        <f t="shared" si="19"/>
        <v>29536193.365177568</v>
      </c>
      <c r="T25" s="142"/>
    </row>
    <row r="26" spans="1:34" ht="17" thickTop="1" x14ac:dyDescent="0.2">
      <c r="A26" s="40"/>
      <c r="B26" s="40"/>
      <c r="C26" s="136" t="s">
        <v>204</v>
      </c>
      <c r="D26" s="40">
        <v>0</v>
      </c>
      <c r="E26" s="44">
        <f>E24-E25</f>
        <v>-5447645.1991666667</v>
      </c>
      <c r="F26" s="44">
        <f t="shared" ref="F26:N26" si="20">F24-F25</f>
        <v>-5421898.2399806688</v>
      </c>
      <c r="G26" s="44">
        <f t="shared" si="20"/>
        <v>-2880352.173561302</v>
      </c>
      <c r="H26" s="44">
        <f t="shared" si="20"/>
        <v>-2595480.0654126122</v>
      </c>
      <c r="I26" s="44">
        <f t="shared" si="20"/>
        <v>-2368216.7225910714</v>
      </c>
      <c r="J26" s="44">
        <f t="shared" si="20"/>
        <v>-2134204.7284628926</v>
      </c>
      <c r="K26" s="44">
        <f t="shared" si="20"/>
        <v>-1893231.9903843259</v>
      </c>
      <c r="L26" s="44">
        <f t="shared" si="20"/>
        <v>-1645079.3644564231</v>
      </c>
      <c r="M26" s="44">
        <f t="shared" si="20"/>
        <v>-1389520.4079062585</v>
      </c>
      <c r="N26" s="44">
        <f t="shared" si="20"/>
        <v>-1126321.122313919</v>
      </c>
      <c r="O26" s="44">
        <f t="shared" ref="O26:S26" si="21">O24-O25</f>
        <v>-855239.6873309738</v>
      </c>
      <c r="P26" s="44">
        <f t="shared" si="21"/>
        <v>-576026.18452182983</v>
      </c>
      <c r="Q26" s="44">
        <f t="shared" si="21"/>
        <v>-288422.31094457413</v>
      </c>
      <c r="R26" s="44">
        <f t="shared" si="21"/>
        <v>7838.9179276319082</v>
      </c>
      <c r="S26" s="44">
        <f t="shared" si="21"/>
        <v>111112346.46900132</v>
      </c>
      <c r="T26" s="105"/>
    </row>
    <row r="27" spans="1:34" x14ac:dyDescent="0.2">
      <c r="A27" s="40"/>
      <c r="B27" s="40"/>
      <c r="C27" s="136"/>
      <c r="D27" s="40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0"/>
      <c r="P27" s="40"/>
      <c r="T27" s="133"/>
    </row>
    <row r="28" spans="1:34" x14ac:dyDescent="0.2">
      <c r="A28" s="40"/>
      <c r="B28" s="40"/>
      <c r="C28" s="136"/>
      <c r="D28" s="40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0"/>
      <c r="P28" s="40"/>
      <c r="T28" s="133"/>
    </row>
    <row r="29" spans="1:34" x14ac:dyDescent="0.2">
      <c r="A29" s="40"/>
      <c r="B29" s="40"/>
      <c r="C29" s="135" t="s">
        <v>205</v>
      </c>
      <c r="D29" s="40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0"/>
      <c r="P29" s="40"/>
      <c r="T29" s="133"/>
    </row>
    <row r="30" spans="1:34" x14ac:dyDescent="0.2">
      <c r="A30" s="40"/>
      <c r="B30" s="40"/>
      <c r="C30" s="136" t="s">
        <v>243</v>
      </c>
      <c r="D30" s="40"/>
      <c r="E30" s="44">
        <f>'Pro Forma'!C54+'Pro Forma'!C55</f>
        <v>0</v>
      </c>
      <c r="F30" s="44">
        <f>'Pro Forma'!D54+'Pro Forma'!D55</f>
        <v>0</v>
      </c>
      <c r="G30" s="44">
        <f>'Pro Forma'!E54+'Pro Forma'!E55</f>
        <v>1537800</v>
      </c>
      <c r="H30" s="44">
        <f>'Pro Forma'!F54+'Pro Forma'!F55</f>
        <v>1537800</v>
      </c>
      <c r="I30" s="44">
        <f>'Pro Forma'!G54+'Pro Forma'!G55</f>
        <v>1537800</v>
      </c>
      <c r="J30" s="44">
        <f>'Pro Forma'!H54+'Pro Forma'!H55</f>
        <v>1537800</v>
      </c>
      <c r="K30" s="44">
        <f>'Pro Forma'!I54+'Pro Forma'!I55</f>
        <v>1537800</v>
      </c>
      <c r="L30" s="44">
        <f>'Pro Forma'!J54+'Pro Forma'!J55</f>
        <v>1537800</v>
      </c>
      <c r="M30" s="44">
        <f>'Pro Forma'!K54+'Pro Forma'!K55</f>
        <v>1537800</v>
      </c>
      <c r="N30" s="44">
        <f>'Pro Forma'!L54+'Pro Forma'!L55</f>
        <v>1537800</v>
      </c>
      <c r="O30" s="44">
        <f>'Pro Forma'!M54+'Pro Forma'!M55</f>
        <v>1537800</v>
      </c>
      <c r="P30" s="44">
        <f>'Pro Forma'!N54+'Pro Forma'!N55</f>
        <v>1537800</v>
      </c>
      <c r="Q30" s="44">
        <f>'Pro Forma'!O54+'Pro Forma'!O55</f>
        <v>1537800</v>
      </c>
      <c r="R30" s="44">
        <f>'Pro Forma'!P54+'Pro Forma'!P55</f>
        <v>1537800</v>
      </c>
      <c r="S30" s="44">
        <f>'Pro Forma'!Q54+'Pro Forma'!Q55</f>
        <v>1537800</v>
      </c>
      <c r="T30" s="133"/>
    </row>
    <row r="31" spans="1:34" x14ac:dyDescent="0.2">
      <c r="A31" s="40"/>
      <c r="B31" s="40"/>
      <c r="C31" s="136" t="s">
        <v>73</v>
      </c>
      <c r="D31" s="44">
        <f>SUM('Pro Forma'!B59:B65)</f>
        <v>36806000</v>
      </c>
      <c r="E31" s="44">
        <f>SUM('Pro Forma'!C59:C65)</f>
        <v>36806000</v>
      </c>
      <c r="F31" s="44">
        <f>SUM('Pro Forma'!D59:D65)</f>
        <v>36806000</v>
      </c>
      <c r="G31" s="44">
        <f>SUM('Pro Forma'!E59:E65)</f>
        <v>0</v>
      </c>
      <c r="H31" s="44">
        <f>SUM('Pro Forma'!F59:F65)</f>
        <v>0</v>
      </c>
      <c r="I31" s="44">
        <f>SUM('Pro Forma'!G59:G65)</f>
        <v>0</v>
      </c>
      <c r="J31" s="44">
        <f>SUM('Pro Forma'!H59:H65)</f>
        <v>0</v>
      </c>
      <c r="K31" s="44">
        <f>SUM('Pro Forma'!I59:I65)</f>
        <v>0</v>
      </c>
      <c r="L31" s="44">
        <f>SUM('Pro Forma'!J59:J65)</f>
        <v>0</v>
      </c>
      <c r="M31" s="44">
        <f>SUM('Pro Forma'!K59:K65)</f>
        <v>0</v>
      </c>
      <c r="N31" s="44">
        <f>SUM('Pro Forma'!L59:L65)</f>
        <v>0</v>
      </c>
      <c r="O31" s="44">
        <f>SUM('Pro Forma'!M59:M65)</f>
        <v>0</v>
      </c>
      <c r="P31" s="44">
        <f>SUM('Pro Forma'!N59:N65)</f>
        <v>0</v>
      </c>
      <c r="Q31" s="44">
        <f>SUM('Pro Forma'!O59:O65)</f>
        <v>0</v>
      </c>
      <c r="R31" s="44">
        <f>SUM('Pro Forma'!P59:P65)</f>
        <v>0</v>
      </c>
      <c r="S31" s="44">
        <f>SUM('Pro Forma'!Q59:Q65)</f>
        <v>0</v>
      </c>
      <c r="T31" s="133"/>
    </row>
    <row r="32" spans="1:34" x14ac:dyDescent="0.2">
      <c r="A32" s="40"/>
      <c r="B32" s="40"/>
      <c r="C32" s="136" t="s">
        <v>206</v>
      </c>
      <c r="D32" s="40"/>
      <c r="E32" s="44">
        <f>'Pro Forma'!C68+'Pro Forma'!C69</f>
        <v>0</v>
      </c>
      <c r="F32" s="44">
        <f>'Pro Forma'!D68+'Pro Forma'!D69</f>
        <v>0</v>
      </c>
      <c r="G32" s="44">
        <f>'Pro Forma'!E68+'Pro Forma'!E69</f>
        <v>1358990.7692307692</v>
      </c>
      <c r="H32" s="44">
        <f>'Pro Forma'!F68+'Pro Forma'!F69</f>
        <v>1358990.7692307692</v>
      </c>
      <c r="I32" s="44">
        <f>'Pro Forma'!G68+'Pro Forma'!G69</f>
        <v>1358990.7692307692</v>
      </c>
      <c r="J32" s="44">
        <f>'Pro Forma'!H68+'Pro Forma'!H69</f>
        <v>1358990.7692307692</v>
      </c>
      <c r="K32" s="44">
        <f>'Pro Forma'!I68+'Pro Forma'!I69</f>
        <v>1358990.7692307692</v>
      </c>
      <c r="L32" s="44">
        <f>'Pro Forma'!J68+'Pro Forma'!J69</f>
        <v>1358990.7692307692</v>
      </c>
      <c r="M32" s="44">
        <f>'Pro Forma'!K68+'Pro Forma'!K69</f>
        <v>1358990.7692307692</v>
      </c>
      <c r="N32" s="44">
        <f>'Pro Forma'!L68+'Pro Forma'!L69</f>
        <v>1358990.7692307692</v>
      </c>
      <c r="O32" s="44">
        <f>'Pro Forma'!M68+'Pro Forma'!M69</f>
        <v>1358990.7692307692</v>
      </c>
      <c r="P32" s="44">
        <f>'Pro Forma'!N68+'Pro Forma'!N69</f>
        <v>1358990.7692307692</v>
      </c>
      <c r="Q32" s="44">
        <f>'Pro Forma'!O68+'Pro Forma'!O69</f>
        <v>1358990.7692307692</v>
      </c>
      <c r="R32" s="44">
        <f>'Pro Forma'!P68+'Pro Forma'!P69</f>
        <v>1358990.7692307692</v>
      </c>
      <c r="S32" s="44">
        <f>'Pro Forma'!Q68+'Pro Forma'!Q69</f>
        <v>1358990.7692307692</v>
      </c>
      <c r="T32" s="105"/>
    </row>
    <row r="33" spans="1:20" x14ac:dyDescent="0.2">
      <c r="A33" s="40"/>
      <c r="B33" s="40"/>
      <c r="C33" s="136" t="s">
        <v>200</v>
      </c>
      <c r="D33" s="40"/>
      <c r="E33" s="44">
        <f>E22</f>
        <v>4907466.666666667</v>
      </c>
      <c r="F33" s="44">
        <f t="shared" ref="F33:N33" si="22">F22</f>
        <v>4907466.666666667</v>
      </c>
      <c r="G33" s="44">
        <f t="shared" si="22"/>
        <v>4907466.666666667</v>
      </c>
      <c r="H33" s="44">
        <f t="shared" si="22"/>
        <v>4907466.666666667</v>
      </c>
      <c r="I33" s="44">
        <f t="shared" si="22"/>
        <v>4907466.666666667</v>
      </c>
      <c r="J33" s="44">
        <f t="shared" si="22"/>
        <v>4907466.666666667</v>
      </c>
      <c r="K33" s="44">
        <f t="shared" si="22"/>
        <v>4907466.666666667</v>
      </c>
      <c r="L33" s="44">
        <f t="shared" si="22"/>
        <v>4907466.666666667</v>
      </c>
      <c r="M33" s="44">
        <f t="shared" si="22"/>
        <v>4907466.666666667</v>
      </c>
      <c r="N33" s="44">
        <f t="shared" si="22"/>
        <v>4907466.666666667</v>
      </c>
      <c r="O33" s="44">
        <f>O22</f>
        <v>4907466.666666667</v>
      </c>
      <c r="P33" s="44">
        <f>P22</f>
        <v>4907466.666666667</v>
      </c>
      <c r="Q33" s="44">
        <f>Q22</f>
        <v>4907466.666666667</v>
      </c>
      <c r="R33" s="44">
        <f>R22</f>
        <v>4907466.666666667</v>
      </c>
      <c r="S33" s="44">
        <f>S22</f>
        <v>4907466.666666667</v>
      </c>
      <c r="T33" s="105"/>
    </row>
    <row r="34" spans="1:20" ht="17" thickBot="1" x14ac:dyDescent="0.25">
      <c r="A34" s="40"/>
      <c r="B34" s="40"/>
      <c r="C34" s="136" t="s">
        <v>207</v>
      </c>
      <c r="D34" s="74"/>
      <c r="E34" s="45">
        <f t="shared" ref="E34:S34" si="23">$K$6</f>
        <v>2712533.1406047163</v>
      </c>
      <c r="F34" s="45">
        <f t="shared" si="23"/>
        <v>2712533.1406047163</v>
      </c>
      <c r="G34" s="45">
        <f t="shared" si="23"/>
        <v>2712533.1406047163</v>
      </c>
      <c r="H34" s="45">
        <f t="shared" si="23"/>
        <v>2712533.1406047163</v>
      </c>
      <c r="I34" s="45">
        <f t="shared" si="23"/>
        <v>2712533.1406047163</v>
      </c>
      <c r="J34" s="45">
        <f t="shared" si="23"/>
        <v>2712533.1406047163</v>
      </c>
      <c r="K34" s="45">
        <f t="shared" si="23"/>
        <v>2712533.1406047163</v>
      </c>
      <c r="L34" s="45">
        <f t="shared" si="23"/>
        <v>2712533.1406047163</v>
      </c>
      <c r="M34" s="45">
        <f t="shared" si="23"/>
        <v>2712533.1406047163</v>
      </c>
      <c r="N34" s="45">
        <f t="shared" si="23"/>
        <v>2712533.1406047163</v>
      </c>
      <c r="O34" s="45">
        <f t="shared" si="23"/>
        <v>2712533.1406047163</v>
      </c>
      <c r="P34" s="45">
        <f t="shared" si="23"/>
        <v>2712533.1406047163</v>
      </c>
      <c r="Q34" s="45">
        <f t="shared" si="23"/>
        <v>2712533.1406047163</v>
      </c>
      <c r="R34" s="45">
        <f t="shared" si="23"/>
        <v>2712533.1406047163</v>
      </c>
      <c r="S34" s="45">
        <f t="shared" si="23"/>
        <v>2712533.1406047163</v>
      </c>
      <c r="T34" s="142"/>
    </row>
    <row r="35" spans="1:20" ht="17" thickTop="1" x14ac:dyDescent="0.2">
      <c r="A35" s="40"/>
      <c r="B35" s="51"/>
      <c r="C35" s="137" t="s">
        <v>208</v>
      </c>
      <c r="D35" s="52">
        <f>D26-D31</f>
        <v>-36806000</v>
      </c>
      <c r="E35" s="52">
        <f>E26-E30-E31-E32+E33-E34</f>
        <v>-40058711.673104726</v>
      </c>
      <c r="F35" s="52">
        <f t="shared" ref="F35:S35" si="24">F26-F30-F31-F32+F33-F34</f>
        <v>-40032964.713918723</v>
      </c>
      <c r="G35" s="52">
        <f t="shared" si="24"/>
        <v>-3582209.4167301203</v>
      </c>
      <c r="H35" s="52">
        <f t="shared" si="24"/>
        <v>-3297337.3085814309</v>
      </c>
      <c r="I35" s="52">
        <f t="shared" si="24"/>
        <v>-3070073.9657598897</v>
      </c>
      <c r="J35" s="52">
        <f t="shared" si="24"/>
        <v>-2836061.9716317109</v>
      </c>
      <c r="K35" s="52">
        <f t="shared" si="24"/>
        <v>-2595089.2335531446</v>
      </c>
      <c r="L35" s="52">
        <f t="shared" si="24"/>
        <v>-2346936.6076252419</v>
      </c>
      <c r="M35" s="52">
        <f t="shared" si="24"/>
        <v>-2091377.6510750768</v>
      </c>
      <c r="N35" s="52">
        <f>N26-N30-N31-N32+N33-N34</f>
        <v>-1828178.3654827378</v>
      </c>
      <c r="O35" s="52">
        <f t="shared" si="24"/>
        <v>-1557096.9304997926</v>
      </c>
      <c r="P35" s="52">
        <f t="shared" si="24"/>
        <v>-1277883.427690648</v>
      </c>
      <c r="Q35" s="52">
        <f t="shared" si="24"/>
        <v>-990279.55411339272</v>
      </c>
      <c r="R35" s="52">
        <f t="shared" si="24"/>
        <v>-694018.32524118666</v>
      </c>
      <c r="S35" s="52">
        <f t="shared" si="24"/>
        <v>110410489.22583251</v>
      </c>
      <c r="T35" s="143"/>
    </row>
    <row r="36" spans="1:20" x14ac:dyDescent="0.2">
      <c r="A36" s="40"/>
      <c r="B36" s="40"/>
      <c r="C36" s="136" t="s">
        <v>203</v>
      </c>
      <c r="D36" s="40"/>
      <c r="E36" s="44">
        <f>E25</f>
        <v>-1448108.2175</v>
      </c>
      <c r="F36" s="44">
        <f t="shared" ref="F36:N36" si="25">F25</f>
        <v>-1441264.0891087854</v>
      </c>
      <c r="G36" s="44">
        <f t="shared" si="25"/>
        <v>-765663.23600996635</v>
      </c>
      <c r="H36" s="44">
        <f t="shared" si="25"/>
        <v>-689937.73890714999</v>
      </c>
      <c r="I36" s="44">
        <f t="shared" si="25"/>
        <v>-629525.96423306945</v>
      </c>
      <c r="J36" s="44">
        <f t="shared" si="25"/>
        <v>-567320.24427494605</v>
      </c>
      <c r="K36" s="44">
        <f t="shared" si="25"/>
        <v>-503264.19997558033</v>
      </c>
      <c r="L36" s="44">
        <f t="shared" si="25"/>
        <v>-437299.57789347955</v>
      </c>
      <c r="M36" s="44">
        <f t="shared" si="25"/>
        <v>-369366.1843801447</v>
      </c>
      <c r="N36" s="44">
        <f t="shared" si="25"/>
        <v>-299401.81732395315</v>
      </c>
      <c r="O36" s="44">
        <f>O25</f>
        <v>-227342.19536646135</v>
      </c>
      <c r="P36" s="44">
        <f>P25</f>
        <v>-153120.88449314461</v>
      </c>
      <c r="Q36" s="44">
        <f>Q25</f>
        <v>-76669.221896658943</v>
      </c>
      <c r="R36" s="44">
        <f>R25</f>
        <v>2083.76299342114</v>
      </c>
      <c r="S36" s="44">
        <f>S25</f>
        <v>29536193.365177568</v>
      </c>
      <c r="T36" s="105"/>
    </row>
    <row r="37" spans="1:20" x14ac:dyDescent="0.2">
      <c r="A37" s="40"/>
      <c r="B37" s="40"/>
      <c r="C37" s="136" t="s">
        <v>209</v>
      </c>
      <c r="D37" s="40"/>
      <c r="E37" s="44">
        <f>E35+E36</f>
        <v>-41506819.890604727</v>
      </c>
      <c r="F37" s="44">
        <f t="shared" ref="F37:N37" si="26">F35+F36</f>
        <v>-41474228.803027511</v>
      </c>
      <c r="G37" s="44">
        <f t="shared" si="26"/>
        <v>-4347872.6527400864</v>
      </c>
      <c r="H37" s="44">
        <f t="shared" si="26"/>
        <v>-3987275.0474885809</v>
      </c>
      <c r="I37" s="44">
        <f t="shared" si="26"/>
        <v>-3699599.9299929589</v>
      </c>
      <c r="J37" s="44">
        <f t="shared" si="26"/>
        <v>-3403382.2159066568</v>
      </c>
      <c r="K37" s="44">
        <f t="shared" si="26"/>
        <v>-3098353.4335287251</v>
      </c>
      <c r="L37" s="44">
        <f t="shared" si="26"/>
        <v>-2784236.1855187216</v>
      </c>
      <c r="M37" s="44">
        <f t="shared" si="26"/>
        <v>-2460743.8354552216</v>
      </c>
      <c r="N37" s="44">
        <f t="shared" si="26"/>
        <v>-2127580.1828066912</v>
      </c>
      <c r="O37" s="44">
        <f t="shared" ref="O37:S37" si="27">O35+O36</f>
        <v>-1784439.1258662539</v>
      </c>
      <c r="P37" s="44">
        <f t="shared" si="27"/>
        <v>-1431004.3121837927</v>
      </c>
      <c r="Q37" s="44">
        <f t="shared" si="27"/>
        <v>-1066948.7760100516</v>
      </c>
      <c r="R37" s="44">
        <f t="shared" si="27"/>
        <v>-691934.56224776548</v>
      </c>
      <c r="S37" s="44">
        <f t="shared" si="27"/>
        <v>139946682.59101006</v>
      </c>
      <c r="T37" s="105"/>
    </row>
    <row r="38" spans="1:20" x14ac:dyDescent="0.2">
      <c r="A38" s="40"/>
      <c r="B38" s="40"/>
      <c r="C38" s="136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T38" s="133"/>
    </row>
    <row r="39" spans="1:20" x14ac:dyDescent="0.2">
      <c r="A39" s="40"/>
      <c r="B39" s="40"/>
      <c r="C39" s="136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T39" s="133"/>
    </row>
    <row r="40" spans="1:20" x14ac:dyDescent="0.2">
      <c r="A40" s="40"/>
      <c r="B40" s="40"/>
      <c r="C40" s="135" t="s">
        <v>210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T40" s="133"/>
    </row>
    <row r="41" spans="1:20" x14ac:dyDescent="0.2">
      <c r="A41" s="40"/>
      <c r="B41" s="40"/>
      <c r="C41" s="136" t="str">
        <f>C21</f>
        <v>NOI</v>
      </c>
      <c r="D41" s="40"/>
      <c r="E41" s="44">
        <f>E21</f>
        <v>0</v>
      </c>
      <c r="F41" s="44">
        <f t="shared" ref="F41:N41" si="28">F21</f>
        <v>0</v>
      </c>
      <c r="G41" s="44">
        <f t="shared" si="28"/>
        <v>3183089.2329999991</v>
      </c>
      <c r="H41" s="44">
        <f t="shared" si="28"/>
        <v>3508096.5558400005</v>
      </c>
      <c r="I41" s="44">
        <f t="shared" si="28"/>
        <v>3758579.8282155991</v>
      </c>
      <c r="J41" s="44">
        <f t="shared" si="28"/>
        <v>4015932.0641514771</v>
      </c>
      <c r="K41" s="44">
        <f t="shared" si="28"/>
        <v>4280346.4218622167</v>
      </c>
      <c r="L41" s="44">
        <f t="shared" si="28"/>
        <v>4552021.5960950032</v>
      </c>
      <c r="M41" s="44">
        <f t="shared" si="28"/>
        <v>4831161.9790613111</v>
      </c>
      <c r="N41" s="44">
        <f t="shared" si="28"/>
        <v>5117977.826093277</v>
      </c>
      <c r="O41" s="44">
        <f t="shared" ref="O41:S41" si="29">O21</f>
        <v>5412685.4261644036</v>
      </c>
      <c r="P41" s="44">
        <f t="shared" si="29"/>
        <v>5715507.2774184346</v>
      </c>
      <c r="Q41" s="44">
        <f t="shared" si="29"/>
        <v>6026672.267854467</v>
      </c>
      <c r="R41" s="44">
        <f t="shared" si="29"/>
        <v>6346415.8613208476</v>
      </c>
      <c r="S41" s="44">
        <f t="shared" si="29"/>
        <v>146927275.21636945</v>
      </c>
      <c r="T41" s="133"/>
    </row>
    <row r="42" spans="1:20" x14ac:dyDescent="0.2">
      <c r="A42" s="40"/>
      <c r="B42" s="40"/>
      <c r="C42" s="136" t="s">
        <v>243</v>
      </c>
      <c r="D42" s="40"/>
      <c r="E42" s="44">
        <f>E30</f>
        <v>0</v>
      </c>
      <c r="F42" s="44">
        <f t="shared" ref="F42:S42" si="30">F30</f>
        <v>0</v>
      </c>
      <c r="G42" s="44">
        <f t="shared" si="30"/>
        <v>1537800</v>
      </c>
      <c r="H42" s="44">
        <f t="shared" si="30"/>
        <v>1537800</v>
      </c>
      <c r="I42" s="44">
        <f t="shared" si="30"/>
        <v>1537800</v>
      </c>
      <c r="J42" s="44">
        <f t="shared" si="30"/>
        <v>1537800</v>
      </c>
      <c r="K42" s="44">
        <f t="shared" si="30"/>
        <v>1537800</v>
      </c>
      <c r="L42" s="44">
        <f t="shared" si="30"/>
        <v>1537800</v>
      </c>
      <c r="M42" s="44">
        <f t="shared" si="30"/>
        <v>1537800</v>
      </c>
      <c r="N42" s="44">
        <f t="shared" si="30"/>
        <v>1537800</v>
      </c>
      <c r="O42" s="44">
        <f t="shared" si="30"/>
        <v>1537800</v>
      </c>
      <c r="P42" s="44">
        <f t="shared" si="30"/>
        <v>1537800</v>
      </c>
      <c r="Q42" s="44">
        <f t="shared" si="30"/>
        <v>1537800</v>
      </c>
      <c r="R42" s="44">
        <f t="shared" si="30"/>
        <v>1537800</v>
      </c>
      <c r="S42" s="44">
        <f t="shared" si="30"/>
        <v>1537800</v>
      </c>
      <c r="T42" s="133"/>
    </row>
    <row r="43" spans="1:20" x14ac:dyDescent="0.2">
      <c r="A43" s="40"/>
      <c r="B43" s="40"/>
      <c r="C43" s="136" t="s">
        <v>73</v>
      </c>
      <c r="D43" s="44">
        <f>D31</f>
        <v>36806000</v>
      </c>
      <c r="E43" s="44">
        <f>E31</f>
        <v>36806000</v>
      </c>
      <c r="F43" s="44">
        <f t="shared" ref="F43:S43" si="31">F31</f>
        <v>36806000</v>
      </c>
      <c r="G43" s="44">
        <f t="shared" si="31"/>
        <v>0</v>
      </c>
      <c r="H43" s="44">
        <f t="shared" si="31"/>
        <v>0</v>
      </c>
      <c r="I43" s="44">
        <f t="shared" si="31"/>
        <v>0</v>
      </c>
      <c r="J43" s="44">
        <f t="shared" si="31"/>
        <v>0</v>
      </c>
      <c r="K43" s="44">
        <f t="shared" si="31"/>
        <v>0</v>
      </c>
      <c r="L43" s="44">
        <f t="shared" si="31"/>
        <v>0</v>
      </c>
      <c r="M43" s="44">
        <f t="shared" si="31"/>
        <v>0</v>
      </c>
      <c r="N43" s="44">
        <f t="shared" si="31"/>
        <v>0</v>
      </c>
      <c r="O43" s="44">
        <f t="shared" si="31"/>
        <v>0</v>
      </c>
      <c r="P43" s="44">
        <f t="shared" si="31"/>
        <v>0</v>
      </c>
      <c r="Q43" s="44">
        <f t="shared" si="31"/>
        <v>0</v>
      </c>
      <c r="R43" s="44">
        <f t="shared" si="31"/>
        <v>0</v>
      </c>
      <c r="S43" s="44">
        <f t="shared" si="31"/>
        <v>0</v>
      </c>
      <c r="T43" s="133"/>
    </row>
    <row r="44" spans="1:20" ht="17" thickBot="1" x14ac:dyDescent="0.25">
      <c r="A44" s="40"/>
      <c r="B44" s="40"/>
      <c r="C44" s="136" t="str">
        <f t="shared" ref="C44:N44" si="32">C32</f>
        <v>Capital Expenditure</v>
      </c>
      <c r="D44" s="40"/>
      <c r="E44" s="45">
        <f>E32</f>
        <v>0</v>
      </c>
      <c r="F44" s="45">
        <f t="shared" si="32"/>
        <v>0</v>
      </c>
      <c r="G44" s="45">
        <f t="shared" si="32"/>
        <v>1358990.7692307692</v>
      </c>
      <c r="H44" s="45">
        <f t="shared" si="32"/>
        <v>1358990.7692307692</v>
      </c>
      <c r="I44" s="45">
        <f t="shared" si="32"/>
        <v>1358990.7692307692</v>
      </c>
      <c r="J44" s="45">
        <f t="shared" si="32"/>
        <v>1358990.7692307692</v>
      </c>
      <c r="K44" s="45">
        <f t="shared" si="32"/>
        <v>1358990.7692307692</v>
      </c>
      <c r="L44" s="45">
        <f t="shared" si="32"/>
        <v>1358990.7692307692</v>
      </c>
      <c r="M44" s="45">
        <f t="shared" si="32"/>
        <v>1358990.7692307692</v>
      </c>
      <c r="N44" s="45">
        <f t="shared" si="32"/>
        <v>1358990.7692307692</v>
      </c>
      <c r="O44" s="45">
        <f t="shared" ref="O44:S44" si="33">O32</f>
        <v>1358990.7692307692</v>
      </c>
      <c r="P44" s="45">
        <f t="shared" si="33"/>
        <v>1358990.7692307692</v>
      </c>
      <c r="Q44" s="45">
        <f t="shared" si="33"/>
        <v>1358990.7692307692</v>
      </c>
      <c r="R44" s="45">
        <f t="shared" si="33"/>
        <v>1358990.7692307692</v>
      </c>
      <c r="S44" s="45">
        <f t="shared" si="33"/>
        <v>1358990.7692307692</v>
      </c>
      <c r="T44" s="133"/>
    </row>
    <row r="45" spans="1:20" ht="17" thickTop="1" x14ac:dyDescent="0.2">
      <c r="A45" s="40"/>
      <c r="B45" s="40"/>
      <c r="C45" s="136" t="s">
        <v>211</v>
      </c>
      <c r="D45" s="40"/>
      <c r="E45" s="44">
        <f>E41-E42-E43-E44</f>
        <v>-36806000</v>
      </c>
      <c r="F45" s="44">
        <f t="shared" ref="F45:S45" si="34">F41-F42-F43-F44</f>
        <v>-36806000</v>
      </c>
      <c r="G45" s="44">
        <f t="shared" si="34"/>
        <v>286298.46376922983</v>
      </c>
      <c r="H45" s="44">
        <f t="shared" si="34"/>
        <v>611305.78660923126</v>
      </c>
      <c r="I45" s="44">
        <f t="shared" si="34"/>
        <v>861789.05898482981</v>
      </c>
      <c r="J45" s="44">
        <f t="shared" si="34"/>
        <v>1119141.2949207078</v>
      </c>
      <c r="K45" s="44">
        <f t="shared" si="34"/>
        <v>1383555.6526314474</v>
      </c>
      <c r="L45" s="44">
        <f t="shared" si="34"/>
        <v>1655230.8268642339</v>
      </c>
      <c r="M45" s="44">
        <f t="shared" si="34"/>
        <v>1934371.2098305419</v>
      </c>
      <c r="N45" s="44">
        <f t="shared" si="34"/>
        <v>2221187.0568625079</v>
      </c>
      <c r="O45" s="44">
        <f t="shared" si="34"/>
        <v>2515894.6569336345</v>
      </c>
      <c r="P45" s="44">
        <f t="shared" si="34"/>
        <v>2818716.5081876656</v>
      </c>
      <c r="Q45" s="44">
        <f t="shared" si="34"/>
        <v>3129881.498623698</v>
      </c>
      <c r="R45" s="44">
        <f t="shared" si="34"/>
        <v>3449625.0920900786</v>
      </c>
      <c r="S45" s="44">
        <f t="shared" si="34"/>
        <v>144030484.44713867</v>
      </c>
      <c r="T45" s="133"/>
    </row>
    <row r="46" spans="1:20" ht="17" thickBot="1" x14ac:dyDescent="0.25">
      <c r="A46" s="40"/>
      <c r="B46" s="40"/>
      <c r="C46" s="136" t="s">
        <v>212</v>
      </c>
      <c r="D46" s="40"/>
      <c r="E46" s="45">
        <f>E15</f>
        <v>4700819.8906047158</v>
      </c>
      <c r="F46" s="45">
        <f t="shared" ref="F46:N46" si="35">F15</f>
        <v>4668228.8030275041</v>
      </c>
      <c r="G46" s="45">
        <f t="shared" si="35"/>
        <v>4634171.1165093165</v>
      </c>
      <c r="H46" s="45">
        <f t="shared" si="35"/>
        <v>4598580.834097812</v>
      </c>
      <c r="I46" s="45">
        <f t="shared" si="35"/>
        <v>4561388.9889777889</v>
      </c>
      <c r="J46" s="45">
        <f t="shared" si="35"/>
        <v>4522523.5108273653</v>
      </c>
      <c r="K46" s="45">
        <f t="shared" si="35"/>
        <v>4481909.0861601718</v>
      </c>
      <c r="L46" s="45">
        <f t="shared" si="35"/>
        <v>4439467.0123829553</v>
      </c>
      <c r="M46" s="45">
        <f t="shared" si="35"/>
        <v>4395115.0452857632</v>
      </c>
      <c r="N46" s="45">
        <f t="shared" si="35"/>
        <v>4348767.2396691982</v>
      </c>
      <c r="O46" s="45">
        <f t="shared" ref="O46:S46" si="36">O15</f>
        <v>4300333.7827998884</v>
      </c>
      <c r="P46" s="45">
        <f t="shared" si="36"/>
        <v>4249720.8203714583</v>
      </c>
      <c r="Q46" s="45">
        <f t="shared" si="36"/>
        <v>4196830.2746337494</v>
      </c>
      <c r="R46" s="45">
        <f t="shared" si="36"/>
        <v>4141559.6543378439</v>
      </c>
      <c r="S46" s="45">
        <f t="shared" si="36"/>
        <v>4083801.8561286223</v>
      </c>
      <c r="T46" s="133"/>
    </row>
    <row r="47" spans="1:20" ht="17" thickTop="1" x14ac:dyDescent="0.2">
      <c r="A47" s="40"/>
      <c r="B47" s="40"/>
      <c r="C47" s="136" t="s">
        <v>213</v>
      </c>
      <c r="D47" s="40"/>
      <c r="E47" s="44">
        <f>E45-E46</f>
        <v>-41506819.89060472</v>
      </c>
      <c r="F47" s="44">
        <f t="shared" ref="F47:N47" si="37">F45-F46</f>
        <v>-41474228.803027503</v>
      </c>
      <c r="G47" s="44">
        <f t="shared" si="37"/>
        <v>-4347872.6527400864</v>
      </c>
      <c r="H47" s="44">
        <f t="shared" si="37"/>
        <v>-3987275.0474885805</v>
      </c>
      <c r="I47" s="44">
        <f t="shared" si="37"/>
        <v>-3699599.9299929589</v>
      </c>
      <c r="J47" s="44">
        <f t="shared" si="37"/>
        <v>-3403382.2159066573</v>
      </c>
      <c r="K47" s="44">
        <f t="shared" si="37"/>
        <v>-3098353.4335287241</v>
      </c>
      <c r="L47" s="44">
        <f t="shared" si="37"/>
        <v>-2784236.1855187211</v>
      </c>
      <c r="M47" s="44">
        <f t="shared" si="37"/>
        <v>-2460743.8354552211</v>
      </c>
      <c r="N47" s="44">
        <f t="shared" si="37"/>
        <v>-2127580.1828066902</v>
      </c>
      <c r="O47" s="44">
        <f t="shared" ref="O47:S47" si="38">O45-O46</f>
        <v>-1784439.1258662539</v>
      </c>
      <c r="P47" s="44">
        <f t="shared" si="38"/>
        <v>-1431004.3121837927</v>
      </c>
      <c r="Q47" s="44">
        <f t="shared" si="38"/>
        <v>-1066948.7760100514</v>
      </c>
      <c r="R47" s="44">
        <f t="shared" si="38"/>
        <v>-691934.56224776525</v>
      </c>
      <c r="S47" s="44">
        <f t="shared" si="38"/>
        <v>139946682.59101003</v>
      </c>
      <c r="T47" s="133"/>
    </row>
    <row r="48" spans="1:20" x14ac:dyDescent="0.2">
      <c r="A48" s="40"/>
      <c r="B48" s="40"/>
      <c r="C48" s="136" t="s">
        <v>214</v>
      </c>
      <c r="D48" s="40"/>
      <c r="E48" s="44">
        <f t="shared" ref="E48:N48" si="39">OrdTax*E41</f>
        <v>0</v>
      </c>
      <c r="F48" s="44">
        <f t="shared" si="39"/>
        <v>0</v>
      </c>
      <c r="G48" s="44">
        <f t="shared" si="39"/>
        <v>668448.73892999976</v>
      </c>
      <c r="H48" s="44">
        <f t="shared" si="39"/>
        <v>736700.27672640013</v>
      </c>
      <c r="I48" s="44">
        <f t="shared" si="39"/>
        <v>789301.76392527577</v>
      </c>
      <c r="J48" s="44">
        <f t="shared" si="39"/>
        <v>843345.73347181012</v>
      </c>
      <c r="K48" s="44">
        <f t="shared" si="39"/>
        <v>898872.74859106552</v>
      </c>
      <c r="L48" s="44">
        <f t="shared" si="39"/>
        <v>955924.53517995065</v>
      </c>
      <c r="M48" s="44">
        <f t="shared" si="39"/>
        <v>1014544.0156028753</v>
      </c>
      <c r="N48" s="44">
        <f t="shared" si="39"/>
        <v>1074775.3434795882</v>
      </c>
      <c r="O48" s="44">
        <f t="shared" ref="O48:S48" si="40">OrdTax*O41</f>
        <v>1136663.9394945246</v>
      </c>
      <c r="P48" s="44">
        <f t="shared" si="40"/>
        <v>1200256.5282578713</v>
      </c>
      <c r="Q48" s="44">
        <f t="shared" si="40"/>
        <v>1265601.176249438</v>
      </c>
      <c r="R48" s="44">
        <f t="shared" si="40"/>
        <v>1332747.3308773779</v>
      </c>
      <c r="S48" s="44">
        <f t="shared" si="40"/>
        <v>30854727.795437582</v>
      </c>
      <c r="T48" s="133"/>
    </row>
    <row r="49" spans="1:20" x14ac:dyDescent="0.2">
      <c r="A49" s="40"/>
      <c r="B49" s="40"/>
      <c r="C49" s="136" t="s">
        <v>215</v>
      </c>
      <c r="D49" s="40"/>
      <c r="E49" s="44">
        <f t="shared" ref="E49:N49" si="41">OrdTax*E22</f>
        <v>1030568</v>
      </c>
      <c r="F49" s="44">
        <f t="shared" si="41"/>
        <v>1030568</v>
      </c>
      <c r="G49" s="44">
        <f t="shared" si="41"/>
        <v>1030568</v>
      </c>
      <c r="H49" s="44">
        <f t="shared" si="41"/>
        <v>1030568</v>
      </c>
      <c r="I49" s="44">
        <f t="shared" si="41"/>
        <v>1030568</v>
      </c>
      <c r="J49" s="44">
        <f t="shared" si="41"/>
        <v>1030568</v>
      </c>
      <c r="K49" s="44">
        <f t="shared" si="41"/>
        <v>1030568</v>
      </c>
      <c r="L49" s="44">
        <f t="shared" si="41"/>
        <v>1030568</v>
      </c>
      <c r="M49" s="44">
        <f t="shared" si="41"/>
        <v>1030568</v>
      </c>
      <c r="N49" s="44">
        <f t="shared" si="41"/>
        <v>1030568</v>
      </c>
      <c r="O49" s="44">
        <f t="shared" ref="O49:S49" si="42">OrdTax*O22</f>
        <v>1030568</v>
      </c>
      <c r="P49" s="44">
        <f t="shared" si="42"/>
        <v>1030568</v>
      </c>
      <c r="Q49" s="44">
        <f t="shared" si="42"/>
        <v>1030568</v>
      </c>
      <c r="R49" s="44">
        <f t="shared" si="42"/>
        <v>1030568</v>
      </c>
      <c r="S49" s="44">
        <f t="shared" si="42"/>
        <v>1030568</v>
      </c>
      <c r="T49" s="133"/>
    </row>
    <row r="50" spans="1:20" ht="17" thickBot="1" x14ac:dyDescent="0.25">
      <c r="A50" s="40"/>
      <c r="B50" s="40"/>
      <c r="C50" s="136" t="s">
        <v>216</v>
      </c>
      <c r="D50" s="40"/>
      <c r="E50" s="45">
        <f t="shared" ref="E50:N50" si="43">OrdTax*E14</f>
        <v>417540.21749999997</v>
      </c>
      <c r="F50" s="45">
        <f t="shared" si="43"/>
        <v>410696.08910878538</v>
      </c>
      <c r="G50" s="45">
        <f t="shared" si="43"/>
        <v>403543.97493996611</v>
      </c>
      <c r="H50" s="45">
        <f t="shared" si="43"/>
        <v>396070.01563355007</v>
      </c>
      <c r="I50" s="45">
        <f t="shared" si="43"/>
        <v>388259.72815834527</v>
      </c>
      <c r="J50" s="45">
        <f t="shared" si="43"/>
        <v>380097.97774675622</v>
      </c>
      <c r="K50" s="45">
        <f t="shared" si="43"/>
        <v>371568.94856664567</v>
      </c>
      <c r="L50" s="45">
        <f t="shared" si="43"/>
        <v>362656.11307343014</v>
      </c>
      <c r="M50" s="45">
        <f t="shared" si="43"/>
        <v>353342.19998301996</v>
      </c>
      <c r="N50" s="45">
        <f t="shared" si="43"/>
        <v>343609.16080354125</v>
      </c>
      <c r="O50" s="45">
        <f t="shared" ref="O50:S50" si="44">OrdTax*O14</f>
        <v>333438.13486098603</v>
      </c>
      <c r="P50" s="45">
        <f t="shared" si="44"/>
        <v>322809.4127510158</v>
      </c>
      <c r="Q50" s="45">
        <f t="shared" si="44"/>
        <v>311702.39814609697</v>
      </c>
      <c r="R50" s="45">
        <f t="shared" si="44"/>
        <v>300095.56788395677</v>
      </c>
      <c r="S50" s="45">
        <f t="shared" si="44"/>
        <v>287966.43026002025</v>
      </c>
      <c r="T50" s="133"/>
    </row>
    <row r="51" spans="1:20" ht="17" thickTop="1" x14ac:dyDescent="0.2">
      <c r="A51" s="40"/>
      <c r="B51" s="49"/>
      <c r="C51" s="137" t="s">
        <v>217</v>
      </c>
      <c r="D51" s="52">
        <f>-D43</f>
        <v>-36806000</v>
      </c>
      <c r="E51" s="52">
        <f>E47-E48+E49+E50</f>
        <v>-40058711.673104718</v>
      </c>
      <c r="F51" s="52">
        <f t="shared" ref="F51:S51" si="45">F47-F48+F49+F50</f>
        <v>-40032964.713918716</v>
      </c>
      <c r="G51" s="52">
        <f t="shared" si="45"/>
        <v>-3582209.4167301203</v>
      </c>
      <c r="H51" s="52">
        <f t="shared" si="45"/>
        <v>-3297337.3085814309</v>
      </c>
      <c r="I51" s="52">
        <f t="shared" si="45"/>
        <v>-3070073.9657598892</v>
      </c>
      <c r="J51" s="52">
        <f t="shared" si="45"/>
        <v>-2836061.9716317109</v>
      </c>
      <c r="K51" s="52">
        <f t="shared" si="45"/>
        <v>-2595089.2335531437</v>
      </c>
      <c r="L51" s="52">
        <f t="shared" si="45"/>
        <v>-2346936.6076252419</v>
      </c>
      <c r="M51" s="52">
        <f t="shared" si="45"/>
        <v>-2091377.6510750768</v>
      </c>
      <c r="N51" s="52">
        <f t="shared" si="45"/>
        <v>-1828178.3654827371</v>
      </c>
      <c r="O51" s="52">
        <f t="shared" si="45"/>
        <v>-1557096.9304997926</v>
      </c>
      <c r="P51" s="52">
        <f t="shared" si="45"/>
        <v>-1277883.427690648</v>
      </c>
      <c r="Q51" s="52">
        <f t="shared" si="45"/>
        <v>-990279.55411339237</v>
      </c>
      <c r="R51" s="52">
        <f t="shared" si="45"/>
        <v>-694018.32524118642</v>
      </c>
      <c r="S51" s="52">
        <f t="shared" si="45"/>
        <v>110410489.22583248</v>
      </c>
      <c r="T51" s="133"/>
    </row>
    <row r="52" spans="1:20" x14ac:dyDescent="0.2">
      <c r="A52" s="40"/>
      <c r="B52" s="40"/>
      <c r="C52" s="136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T52" s="133"/>
    </row>
    <row r="53" spans="1:20" x14ac:dyDescent="0.2">
      <c r="A53" s="40"/>
      <c r="B53" s="40"/>
      <c r="C53" s="135" t="s">
        <v>218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T53" s="133"/>
    </row>
    <row r="54" spans="1:20" x14ac:dyDescent="0.2">
      <c r="A54" s="40"/>
      <c r="B54" s="40"/>
      <c r="C54" s="136" t="s">
        <v>219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O54" s="40"/>
      <c r="P54" s="40"/>
      <c r="S54" s="44">
        <f>T21/H6</f>
        <v>140252294.9273946</v>
      </c>
      <c r="T54" s="133"/>
    </row>
    <row r="55" spans="1:20" ht="17" thickBot="1" x14ac:dyDescent="0.25">
      <c r="A55" s="40"/>
      <c r="B55" s="40"/>
      <c r="C55" s="136" t="s">
        <v>220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O55" s="40"/>
      <c r="P55" s="40"/>
      <c r="S55" s="47">
        <f>S17</f>
        <v>29131373.697672658</v>
      </c>
      <c r="T55" s="133"/>
    </row>
    <row r="56" spans="1:20" ht="17" thickTop="1" x14ac:dyDescent="0.2">
      <c r="A56" s="40"/>
      <c r="B56" s="40"/>
      <c r="C56" s="136" t="str">
        <f t="shared" ref="C56" si="46">C47</f>
        <v>EBTCF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O56" s="40"/>
      <c r="P56" s="40"/>
      <c r="S56" s="46">
        <f>S54-S55</f>
        <v>111120921.22972193</v>
      </c>
      <c r="T56" s="133"/>
    </row>
    <row r="57" spans="1:20" x14ac:dyDescent="0.2">
      <c r="A57" s="40"/>
      <c r="B57" s="40"/>
      <c r="C57" s="136" t="s">
        <v>221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O57" s="40"/>
      <c r="P57" s="40"/>
      <c r="S57" s="46">
        <f>(S54-purchaseprice-SUM(E32:S32)+SUM(E33:S33))*captax</f>
        <v>18383574.739109188</v>
      </c>
      <c r="T57" s="133"/>
    </row>
    <row r="58" spans="1:20" ht="17" thickBot="1" x14ac:dyDescent="0.25">
      <c r="A58" s="40"/>
      <c r="B58" s="40"/>
      <c r="C58" s="136" t="s">
        <v>192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O58" s="40"/>
      <c r="P58" s="40"/>
      <c r="S58" s="47">
        <f>SUM(E33:S33)*D7</f>
        <v>18403000</v>
      </c>
      <c r="T58" s="133"/>
    </row>
    <row r="59" spans="1:20" ht="17" thickTop="1" x14ac:dyDescent="0.2">
      <c r="A59" s="40"/>
      <c r="B59" s="49"/>
      <c r="C59" s="139" t="str">
        <f>C51</f>
        <v>EATCF</v>
      </c>
      <c r="D59" s="140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>
        <f>S56-S57-S58</f>
        <v>74334346.490612745</v>
      </c>
      <c r="T59" s="144"/>
    </row>
    <row r="60" spans="1:20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6"/>
      <c r="O60" s="40"/>
      <c r="P60" s="40"/>
    </row>
    <row r="61" spans="1:20" x14ac:dyDescent="0.2">
      <c r="A61" s="40"/>
      <c r="B61" s="48"/>
      <c r="C61" s="60" t="s">
        <v>222</v>
      </c>
      <c r="D61" s="61">
        <f>((1-K3)*purchaseprice*-1)-D51</f>
        <v>7349900</v>
      </c>
      <c r="E61" s="61">
        <f>E59+E51</f>
        <v>-40058711.673104718</v>
      </c>
      <c r="F61" s="61">
        <f t="shared" ref="F61:L61" si="47">F59+F51</f>
        <v>-40032964.713918716</v>
      </c>
      <c r="G61" s="61">
        <f t="shared" si="47"/>
        <v>-3582209.4167301203</v>
      </c>
      <c r="H61" s="61">
        <f t="shared" si="47"/>
        <v>-3297337.3085814309</v>
      </c>
      <c r="I61" s="61">
        <f t="shared" si="47"/>
        <v>-3070073.9657598892</v>
      </c>
      <c r="J61" s="61">
        <f t="shared" si="47"/>
        <v>-2836061.9716317109</v>
      </c>
      <c r="K61" s="61">
        <f t="shared" si="47"/>
        <v>-2595089.2335531437</v>
      </c>
      <c r="L61" s="61">
        <f t="shared" si="47"/>
        <v>-2346936.6076252419</v>
      </c>
      <c r="M61" s="61">
        <f t="shared" ref="M61:S61" si="48">M59+M51</f>
        <v>-2091377.6510750768</v>
      </c>
      <c r="N61" s="61">
        <f t="shared" si="48"/>
        <v>-1828178.3654827371</v>
      </c>
      <c r="O61" s="61">
        <f t="shared" si="48"/>
        <v>-1557096.9304997926</v>
      </c>
      <c r="P61" s="61">
        <f t="shared" si="48"/>
        <v>-1277883.427690648</v>
      </c>
      <c r="Q61" s="61">
        <f t="shared" si="48"/>
        <v>-990279.55411339237</v>
      </c>
      <c r="R61" s="61">
        <f t="shared" si="48"/>
        <v>-694018.32524118642</v>
      </c>
      <c r="S61" s="61">
        <f t="shared" si="48"/>
        <v>184744835.71644521</v>
      </c>
    </row>
    <row r="62" spans="1:20" x14ac:dyDescent="0.2">
      <c r="A62" s="40"/>
      <c r="B62" s="49"/>
      <c r="C62" s="60" t="s">
        <v>223</v>
      </c>
      <c r="D62" s="61">
        <f>D61</f>
        <v>7349900</v>
      </c>
      <c r="E62" s="61">
        <f>E47+E56</f>
        <v>-41506819.89060472</v>
      </c>
      <c r="F62" s="61">
        <f t="shared" ref="F62:L62" si="49">F47+F56</f>
        <v>-41474228.803027503</v>
      </c>
      <c r="G62" s="61">
        <f t="shared" si="49"/>
        <v>-4347872.6527400864</v>
      </c>
      <c r="H62" s="61">
        <f t="shared" si="49"/>
        <v>-3987275.0474885805</v>
      </c>
      <c r="I62" s="61">
        <f t="shared" si="49"/>
        <v>-3699599.9299929589</v>
      </c>
      <c r="J62" s="61">
        <f t="shared" si="49"/>
        <v>-3403382.2159066573</v>
      </c>
      <c r="K62" s="61">
        <f t="shared" si="49"/>
        <v>-3098353.4335287241</v>
      </c>
      <c r="L62" s="61">
        <f t="shared" si="49"/>
        <v>-2784236.1855187211</v>
      </c>
      <c r="M62" s="61">
        <f t="shared" ref="M62:S62" si="50">M47+M56</f>
        <v>-2460743.8354552211</v>
      </c>
      <c r="N62" s="61">
        <f t="shared" si="50"/>
        <v>-2127580.1828066902</v>
      </c>
      <c r="O62" s="61">
        <f t="shared" si="50"/>
        <v>-1784439.1258662539</v>
      </c>
      <c r="P62" s="61">
        <f t="shared" si="50"/>
        <v>-1431004.3121837927</v>
      </c>
      <c r="Q62" s="61">
        <f t="shared" si="50"/>
        <v>-1066948.7760100514</v>
      </c>
      <c r="R62" s="61">
        <f t="shared" si="50"/>
        <v>-691934.56224776525</v>
      </c>
      <c r="S62" s="61">
        <f t="shared" si="50"/>
        <v>251067603.82073197</v>
      </c>
    </row>
    <row r="63" spans="1:20" x14ac:dyDescent="0.2">
      <c r="A63" s="40"/>
      <c r="B63" s="49"/>
      <c r="C63" s="60" t="s">
        <v>224</v>
      </c>
      <c r="D63" s="61">
        <f>D51</f>
        <v>-36806000</v>
      </c>
      <c r="E63" s="61">
        <f>E45</f>
        <v>-36806000</v>
      </c>
      <c r="F63" s="61">
        <f t="shared" ref="F63:L63" si="51">F45</f>
        <v>-36806000</v>
      </c>
      <c r="G63" s="61">
        <f t="shared" si="51"/>
        <v>286298.46376922983</v>
      </c>
      <c r="H63" s="61">
        <f t="shared" si="51"/>
        <v>611305.78660923126</v>
      </c>
      <c r="I63" s="61">
        <f t="shared" si="51"/>
        <v>861789.05898482981</v>
      </c>
      <c r="J63" s="61">
        <f t="shared" si="51"/>
        <v>1119141.2949207078</v>
      </c>
      <c r="K63" s="61">
        <f t="shared" si="51"/>
        <v>1383555.6526314474</v>
      </c>
      <c r="L63" s="61">
        <f t="shared" si="51"/>
        <v>1655230.8268642339</v>
      </c>
      <c r="M63" s="61">
        <f t="shared" ref="M63:S63" si="52">M45</f>
        <v>1934371.2098305419</v>
      </c>
      <c r="N63" s="61">
        <f t="shared" si="52"/>
        <v>2221187.0568625079</v>
      </c>
      <c r="O63" s="61">
        <f t="shared" si="52"/>
        <v>2515894.6569336345</v>
      </c>
      <c r="P63" s="61">
        <f t="shared" si="52"/>
        <v>2818716.5081876656</v>
      </c>
      <c r="Q63" s="61">
        <f t="shared" si="52"/>
        <v>3129881.498623698</v>
      </c>
      <c r="R63" s="61">
        <f t="shared" si="52"/>
        <v>3449625.0920900786</v>
      </c>
      <c r="S63" s="61">
        <f t="shared" si="52"/>
        <v>144030484.44713867</v>
      </c>
    </row>
    <row r="64" spans="1:20" x14ac:dyDescent="0.2">
      <c r="A64" s="40"/>
      <c r="B64" s="49"/>
      <c r="C64" s="60" t="s">
        <v>225</v>
      </c>
      <c r="D64" s="61">
        <f>D63</f>
        <v>-36806000</v>
      </c>
      <c r="E64" s="61">
        <f>E63-E48+E49</f>
        <v>-35775432</v>
      </c>
      <c r="F64" s="61">
        <f t="shared" ref="F64:L64" si="53">F63-F48+F49</f>
        <v>-35775432</v>
      </c>
      <c r="G64" s="61">
        <f t="shared" si="53"/>
        <v>648417.72483923007</v>
      </c>
      <c r="H64" s="61">
        <f t="shared" si="53"/>
        <v>905173.50988283113</v>
      </c>
      <c r="I64" s="61">
        <f t="shared" si="53"/>
        <v>1103055.295059554</v>
      </c>
      <c r="J64" s="61">
        <f t="shared" si="53"/>
        <v>1306363.5614488977</v>
      </c>
      <c r="K64" s="61">
        <f t="shared" si="53"/>
        <v>1515250.9040403818</v>
      </c>
      <c r="L64" s="61">
        <f t="shared" si="53"/>
        <v>1729874.2916842834</v>
      </c>
      <c r="M64" s="61">
        <f t="shared" ref="M64:S64" si="54">M63-M48+M49</f>
        <v>1950395.1942276666</v>
      </c>
      <c r="N64" s="61">
        <f t="shared" si="54"/>
        <v>2176979.7133829198</v>
      </c>
      <c r="O64" s="61">
        <f t="shared" si="54"/>
        <v>2409798.7174391099</v>
      </c>
      <c r="P64" s="61">
        <f t="shared" si="54"/>
        <v>2649027.9799297946</v>
      </c>
      <c r="Q64" s="61">
        <f t="shared" si="54"/>
        <v>2894848.3223742601</v>
      </c>
      <c r="R64" s="61">
        <f t="shared" si="54"/>
        <v>3147445.761212701</v>
      </c>
      <c r="S64" s="61">
        <f t="shared" si="54"/>
        <v>114206324.65170109</v>
      </c>
    </row>
    <row r="65" spans="1:16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  <row r="66" spans="1:16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</row>
    <row r="67" spans="1:16" ht="17" thickBo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</row>
    <row r="68" spans="1:16" x14ac:dyDescent="0.2">
      <c r="A68" s="40"/>
      <c r="B68" s="40"/>
      <c r="C68" s="40"/>
      <c r="D68" s="40"/>
      <c r="E68" s="40"/>
      <c r="F68" s="62"/>
      <c r="G68" s="63" t="s">
        <v>226</v>
      </c>
      <c r="H68" s="64" t="s">
        <v>227</v>
      </c>
      <c r="I68" s="40"/>
      <c r="J68" s="40"/>
      <c r="K68" s="40"/>
      <c r="L68" s="40"/>
      <c r="M68" s="40"/>
      <c r="N68" s="40"/>
      <c r="O68" s="40"/>
      <c r="P68" s="40"/>
    </row>
    <row r="69" spans="1:16" x14ac:dyDescent="0.2">
      <c r="A69" s="40"/>
      <c r="B69" s="40"/>
      <c r="C69" s="40"/>
      <c r="D69" s="40"/>
      <c r="E69" s="40"/>
      <c r="F69" s="65" t="s">
        <v>228</v>
      </c>
      <c r="G69" s="66">
        <f>IRR(D61:S61)</f>
        <v>5.2965544907769502E-2</v>
      </c>
      <c r="H69" s="67">
        <f>IRR(D64:S64,0.04)</f>
        <v>1.7815803952055287E-2</v>
      </c>
      <c r="I69" s="40"/>
      <c r="J69" s="40"/>
      <c r="K69" s="40"/>
      <c r="L69" s="40"/>
      <c r="M69" s="40"/>
      <c r="N69" s="40"/>
      <c r="O69" s="40"/>
      <c r="P69" s="40"/>
    </row>
    <row r="70" spans="1:16" ht="17" thickBot="1" x14ac:dyDescent="0.25">
      <c r="A70" s="40"/>
      <c r="B70" s="40"/>
      <c r="C70" s="40"/>
      <c r="D70" s="40"/>
      <c r="E70" s="40"/>
      <c r="F70" s="68" t="s">
        <v>229</v>
      </c>
      <c r="G70" s="69">
        <f>IRR(D62:S62)</f>
        <v>7.3588077996236567E-2</v>
      </c>
      <c r="H70" s="70">
        <f>IRR(D63:S63)</f>
        <v>3.1059047738685619E-2</v>
      </c>
      <c r="I70" s="40"/>
      <c r="J70" s="40"/>
      <c r="K70" s="40"/>
      <c r="L70" s="40"/>
      <c r="M70" s="40"/>
      <c r="N70" s="40"/>
      <c r="O70" s="40"/>
      <c r="P70" s="40"/>
    </row>
    <row r="71" spans="1:16" ht="17" thickBot="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</row>
    <row r="72" spans="1:16" ht="17" thickBot="1" x14ac:dyDescent="0.25">
      <c r="A72" s="40"/>
      <c r="B72" s="40"/>
      <c r="C72" s="40"/>
      <c r="D72" s="40"/>
      <c r="E72" s="40"/>
      <c r="F72" s="71" t="s">
        <v>230</v>
      </c>
      <c r="G72" s="72">
        <f>1-G69/G70</f>
        <v>0.28024285522882852</v>
      </c>
      <c r="H72" s="73">
        <f>1-H69/H70</f>
        <v>0.42638924084382668</v>
      </c>
      <c r="I72" s="40"/>
      <c r="J72" s="40"/>
      <c r="K72" s="40"/>
      <c r="L72" s="40"/>
      <c r="M72" s="40"/>
      <c r="N72" s="40"/>
      <c r="O72" s="40"/>
      <c r="P72" s="40"/>
    </row>
    <row r="73" spans="1:16" x14ac:dyDescent="0.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</row>
    <row r="74" spans="1:16" x14ac:dyDescent="0.2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</row>
    <row r="75" spans="1:16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</row>
    <row r="76" spans="1:16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</row>
    <row r="77" spans="1:16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</row>
    <row r="78" spans="1:16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</row>
    <row r="79" spans="1:16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</row>
    <row r="80" spans="1:16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</row>
    <row r="81" spans="1:16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</row>
    <row r="82" spans="1:16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</row>
  </sheetData>
  <mergeCells count="3">
    <mergeCell ref="C2:D2"/>
    <mergeCell ref="G2:H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2875-3716-4FF6-BC54-03C218014BDB}">
  <dimension ref="A1:AH82"/>
  <sheetViews>
    <sheetView showGridLines="0" zoomScale="60" zoomScaleNormal="60" workbookViewId="0"/>
  </sheetViews>
  <sheetFormatPr baseColWidth="10" defaultColWidth="8.85546875" defaultRowHeight="16" x14ac:dyDescent="0.2"/>
  <cols>
    <col min="1" max="2" width="8.85546875" style="14"/>
    <col min="3" max="3" width="31.85546875" style="14" bestFit="1" customWidth="1"/>
    <col min="4" max="4" width="15" style="14" bestFit="1" customWidth="1"/>
    <col min="5" max="5" width="14.5703125" style="14" bestFit="1" customWidth="1"/>
    <col min="6" max="6" width="14.7109375" style="14" bestFit="1" customWidth="1"/>
    <col min="7" max="7" width="19.5703125" style="14" bestFit="1" customWidth="1"/>
    <col min="8" max="19" width="14.5703125" style="14" bestFit="1" customWidth="1"/>
    <col min="20" max="33" width="13.5703125" style="14" bestFit="1" customWidth="1"/>
    <col min="34" max="34" width="12.7109375" style="14" bestFit="1" customWidth="1"/>
    <col min="35" max="16384" width="8.85546875" style="14"/>
  </cols>
  <sheetData>
    <row r="1" spans="1:34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34" ht="16.75" customHeight="1" x14ac:dyDescent="0.2">
      <c r="A2" s="40"/>
      <c r="B2" s="40"/>
      <c r="C2" s="197" t="s">
        <v>11</v>
      </c>
      <c r="D2" s="197"/>
      <c r="E2" s="40"/>
      <c r="F2" s="40"/>
      <c r="G2" s="197" t="s">
        <v>179</v>
      </c>
      <c r="H2" s="197"/>
      <c r="I2" s="40"/>
      <c r="J2" s="197" t="s">
        <v>180</v>
      </c>
      <c r="K2" s="197"/>
      <c r="L2" s="40"/>
      <c r="M2" s="40"/>
      <c r="N2" s="40"/>
      <c r="O2" s="40"/>
      <c r="P2" s="40"/>
    </row>
    <row r="3" spans="1:34" x14ac:dyDescent="0.2">
      <c r="A3" s="40"/>
      <c r="B3" s="40"/>
      <c r="C3" s="75" t="s">
        <v>181</v>
      </c>
      <c r="D3" s="79">
        <f>Assumptions!B8</f>
        <v>73640250</v>
      </c>
      <c r="E3" s="40"/>
      <c r="F3" s="40"/>
      <c r="G3" s="75" t="s">
        <v>182</v>
      </c>
      <c r="H3" s="78">
        <v>0.01</v>
      </c>
      <c r="I3" s="40"/>
      <c r="J3" s="75" t="s">
        <v>183</v>
      </c>
      <c r="K3" s="76">
        <v>0.6</v>
      </c>
      <c r="L3" s="40"/>
      <c r="M3" s="40"/>
      <c r="N3" s="40"/>
      <c r="O3" s="40"/>
      <c r="P3" s="40"/>
    </row>
    <row r="4" spans="1:34" x14ac:dyDescent="0.2">
      <c r="A4" s="40"/>
      <c r="B4" s="40"/>
      <c r="C4" s="75" t="s">
        <v>184</v>
      </c>
      <c r="D4" s="80">
        <f>Assumptions!E43+Assumptions!E40</f>
        <v>88334400</v>
      </c>
      <c r="E4" s="40"/>
      <c r="F4" s="40"/>
      <c r="G4" s="75" t="s">
        <v>255</v>
      </c>
      <c r="H4" s="75">
        <v>18</v>
      </c>
      <c r="I4" s="40"/>
      <c r="J4" s="75" t="s">
        <v>185</v>
      </c>
      <c r="K4" s="77">
        <f>K3*purchaseprice</f>
        <v>44184150</v>
      </c>
      <c r="L4" s="40"/>
      <c r="M4" s="40"/>
      <c r="N4" s="40"/>
      <c r="O4" s="40"/>
      <c r="P4" s="40"/>
    </row>
    <row r="5" spans="1:34" x14ac:dyDescent="0.2">
      <c r="A5" s="40"/>
      <c r="B5" s="40"/>
      <c r="C5" s="75" t="s">
        <v>186</v>
      </c>
      <c r="D5" s="81">
        <v>0.21</v>
      </c>
      <c r="E5" s="40"/>
      <c r="F5" s="40"/>
      <c r="G5" s="75" t="s">
        <v>187</v>
      </c>
      <c r="H5" s="81">
        <f>CapRate</f>
        <v>0.05</v>
      </c>
      <c r="I5" s="40"/>
      <c r="J5" s="75" t="s">
        <v>188</v>
      </c>
      <c r="K5" s="78">
        <v>4.4999999999999998E-2</v>
      </c>
      <c r="L5" s="40"/>
      <c r="M5" s="40"/>
      <c r="N5" s="40"/>
      <c r="O5" s="40"/>
      <c r="P5" s="40"/>
    </row>
    <row r="6" spans="1:34" x14ac:dyDescent="0.2">
      <c r="A6" s="40"/>
      <c r="B6" s="40"/>
      <c r="C6" s="75" t="s">
        <v>189</v>
      </c>
      <c r="D6" s="81">
        <v>0.15</v>
      </c>
      <c r="E6" s="40"/>
      <c r="F6" s="40"/>
      <c r="G6" s="75" t="s">
        <v>190</v>
      </c>
      <c r="H6" s="78">
        <f>H5</f>
        <v>0.05</v>
      </c>
      <c r="I6" s="40"/>
      <c r="J6" s="75" t="s">
        <v>191</v>
      </c>
      <c r="K6" s="77">
        <f>PMT(K5,25,-I17)</f>
        <v>3713293.3450705442</v>
      </c>
      <c r="L6" s="40"/>
      <c r="M6" s="40"/>
      <c r="N6" s="40"/>
      <c r="O6" s="40"/>
      <c r="P6" s="40"/>
    </row>
    <row r="7" spans="1:34" x14ac:dyDescent="0.2">
      <c r="A7" s="40"/>
      <c r="B7" s="40"/>
      <c r="C7" s="75" t="s">
        <v>192</v>
      </c>
      <c r="D7" s="81">
        <v>0.25</v>
      </c>
      <c r="E7" s="40"/>
      <c r="F7" s="40"/>
      <c r="G7" s="40"/>
      <c r="H7" s="40"/>
      <c r="I7" s="40"/>
      <c r="J7" s="75" t="s">
        <v>241</v>
      </c>
      <c r="K7" s="75">
        <v>30</v>
      </c>
      <c r="L7" s="40"/>
      <c r="M7" s="40"/>
      <c r="N7" s="40"/>
      <c r="O7" s="40"/>
      <c r="P7" s="40"/>
    </row>
    <row r="8" spans="1:34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34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</row>
    <row r="10" spans="1:34" x14ac:dyDescent="0.2">
      <c r="A10" s="40"/>
      <c r="B10" s="40"/>
      <c r="C10" s="40"/>
      <c r="D10" s="40"/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34" ht="18" x14ac:dyDescent="0.2">
      <c r="A11" s="40"/>
      <c r="B11" s="40"/>
      <c r="C11" s="138" t="s">
        <v>90</v>
      </c>
      <c r="D11" s="114">
        <v>0</v>
      </c>
      <c r="E11" s="114">
        <v>1</v>
      </c>
      <c r="F11" s="114">
        <v>2</v>
      </c>
      <c r="G11" s="114">
        <v>3</v>
      </c>
      <c r="H11" s="114">
        <v>4</v>
      </c>
      <c r="I11" s="114">
        <v>5</v>
      </c>
      <c r="J11" s="114">
        <v>6</v>
      </c>
      <c r="K11" s="114">
        <v>7</v>
      </c>
      <c r="L11" s="114">
        <v>8</v>
      </c>
      <c r="M11" s="114">
        <v>9</v>
      </c>
      <c r="N11" s="114">
        <v>10</v>
      </c>
      <c r="O11" s="114">
        <v>11</v>
      </c>
      <c r="P11" s="114">
        <v>12</v>
      </c>
      <c r="Q11" s="114">
        <v>13</v>
      </c>
      <c r="R11" s="114">
        <v>14</v>
      </c>
      <c r="S11" s="114">
        <v>15</v>
      </c>
      <c r="T11" s="114">
        <v>16</v>
      </c>
      <c r="U11" s="114">
        <v>17</v>
      </c>
      <c r="V11" s="114">
        <v>18</v>
      </c>
      <c r="W11" s="114">
        <v>19</v>
      </c>
      <c r="X11" s="114">
        <v>20</v>
      </c>
      <c r="Y11" s="114">
        <v>21</v>
      </c>
      <c r="Z11" s="114">
        <v>22</v>
      </c>
      <c r="AA11" s="114">
        <v>23</v>
      </c>
      <c r="AB11" s="114">
        <v>24</v>
      </c>
      <c r="AC11" s="114">
        <v>25</v>
      </c>
      <c r="AD11" s="114">
        <v>26</v>
      </c>
      <c r="AE11" s="114">
        <v>27</v>
      </c>
      <c r="AF11" s="114">
        <v>28</v>
      </c>
      <c r="AG11" s="114">
        <v>29</v>
      </c>
      <c r="AH11" s="115">
        <v>30</v>
      </c>
    </row>
    <row r="12" spans="1:34" x14ac:dyDescent="0.2">
      <c r="A12" s="40"/>
      <c r="B12" s="40"/>
      <c r="C12" s="135" t="s">
        <v>194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AH12" s="133"/>
    </row>
    <row r="13" spans="1:34" x14ac:dyDescent="0.2">
      <c r="A13" s="40"/>
      <c r="B13" s="40"/>
      <c r="C13" s="136" t="s">
        <v>195</v>
      </c>
      <c r="D13" s="43"/>
      <c r="E13" s="41"/>
      <c r="F13" s="41"/>
      <c r="G13" s="41"/>
      <c r="H13" s="41"/>
      <c r="I13" s="41"/>
      <c r="J13" s="41">
        <f>$K$6</f>
        <v>3713293.3450705442</v>
      </c>
      <c r="K13" s="41">
        <f t="shared" ref="K13:AH13" si="0">$K$6</f>
        <v>3713293.3450705442</v>
      </c>
      <c r="L13" s="41">
        <f t="shared" si="0"/>
        <v>3713293.3450705442</v>
      </c>
      <c r="M13" s="41">
        <f t="shared" si="0"/>
        <v>3713293.3450705442</v>
      </c>
      <c r="N13" s="41">
        <f t="shared" si="0"/>
        <v>3713293.3450705442</v>
      </c>
      <c r="O13" s="41">
        <f t="shared" si="0"/>
        <v>3713293.3450705442</v>
      </c>
      <c r="P13" s="41">
        <f t="shared" si="0"/>
        <v>3713293.3450705442</v>
      </c>
      <c r="Q13" s="41">
        <f t="shared" si="0"/>
        <v>3713293.3450705442</v>
      </c>
      <c r="R13" s="41">
        <f t="shared" si="0"/>
        <v>3713293.3450705442</v>
      </c>
      <c r="S13" s="41">
        <f t="shared" si="0"/>
        <v>3713293.3450705442</v>
      </c>
      <c r="T13" s="41">
        <f t="shared" si="0"/>
        <v>3713293.3450705442</v>
      </c>
      <c r="U13" s="41">
        <f t="shared" si="0"/>
        <v>3713293.3450705442</v>
      </c>
      <c r="V13" s="41">
        <f t="shared" si="0"/>
        <v>3713293.3450705442</v>
      </c>
      <c r="W13" s="41">
        <f t="shared" si="0"/>
        <v>3713293.3450705442</v>
      </c>
      <c r="X13" s="41">
        <f t="shared" si="0"/>
        <v>3713293.3450705442</v>
      </c>
      <c r="Y13" s="41">
        <f t="shared" si="0"/>
        <v>3713293.3450705442</v>
      </c>
      <c r="Z13" s="41">
        <f t="shared" si="0"/>
        <v>3713293.3450705442</v>
      </c>
      <c r="AA13" s="41">
        <f t="shared" si="0"/>
        <v>3713293.3450705442</v>
      </c>
      <c r="AB13" s="41">
        <f t="shared" si="0"/>
        <v>3713293.3450705442</v>
      </c>
      <c r="AC13" s="41">
        <f t="shared" si="0"/>
        <v>3713293.3450705442</v>
      </c>
      <c r="AD13" s="41">
        <f t="shared" si="0"/>
        <v>3713293.3450705442</v>
      </c>
      <c r="AE13" s="41">
        <f t="shared" si="0"/>
        <v>3713293.3450705442</v>
      </c>
      <c r="AF13" s="41">
        <f t="shared" si="0"/>
        <v>3713293.3450705442</v>
      </c>
      <c r="AG13" s="41">
        <f t="shared" si="0"/>
        <v>3713293.3450705442</v>
      </c>
      <c r="AH13" s="134">
        <f t="shared" si="0"/>
        <v>3713293.3450705442</v>
      </c>
    </row>
    <row r="14" spans="1:34" x14ac:dyDescent="0.2">
      <c r="A14" s="40"/>
      <c r="B14" s="40"/>
      <c r="C14" s="136" t="s">
        <v>196</v>
      </c>
      <c r="D14" s="43"/>
      <c r="E14" s="41">
        <f>$K$5*D17</f>
        <v>1988286.75</v>
      </c>
      <c r="F14" s="41">
        <f t="shared" ref="F14:AH14" si="1">$K$5*E17</f>
        <v>2077759.6537499998</v>
      </c>
      <c r="G14" s="41">
        <f t="shared" si="1"/>
        <v>2171258.8381687501</v>
      </c>
      <c r="H14" s="41">
        <f t="shared" si="1"/>
        <v>2268965.4858863438</v>
      </c>
      <c r="I14" s="41">
        <f t="shared" si="1"/>
        <v>2371068.932751229</v>
      </c>
      <c r="J14" s="41">
        <f t="shared" si="1"/>
        <v>2477767.0347250346</v>
      </c>
      <c r="K14" s="41">
        <f t="shared" si="1"/>
        <v>2422168.3507594867</v>
      </c>
      <c r="L14" s="41">
        <f t="shared" si="1"/>
        <v>2364067.7260154891</v>
      </c>
      <c r="M14" s="41">
        <f t="shared" si="1"/>
        <v>2303352.5731580118</v>
      </c>
      <c r="N14" s="41">
        <f t="shared" si="1"/>
        <v>2239905.2384219477</v>
      </c>
      <c r="O14" s="41">
        <f t="shared" si="1"/>
        <v>2173602.773622761</v>
      </c>
      <c r="P14" s="41">
        <f t="shared" si="1"/>
        <v>2104316.6979076108</v>
      </c>
      <c r="Q14" s="41">
        <f t="shared" si="1"/>
        <v>2031912.7487852788</v>
      </c>
      <c r="R14" s="41">
        <f t="shared" si="1"/>
        <v>1956250.6219524415</v>
      </c>
      <c r="S14" s="41">
        <f t="shared" si="1"/>
        <v>1877183.6994121268</v>
      </c>
      <c r="T14" s="41">
        <f t="shared" si="1"/>
        <v>1794558.7653574981</v>
      </c>
      <c r="U14" s="41">
        <f t="shared" si="1"/>
        <v>1708215.7092704109</v>
      </c>
      <c r="V14" s="41">
        <f t="shared" si="1"/>
        <v>1617987.2156594051</v>
      </c>
      <c r="W14" s="41">
        <f t="shared" si="1"/>
        <v>1523698.4398359039</v>
      </c>
      <c r="X14" s="41">
        <f t="shared" si="1"/>
        <v>1425166.6691003449</v>
      </c>
      <c r="Y14" s="41">
        <f t="shared" si="1"/>
        <v>1322200.9686816859</v>
      </c>
      <c r="Z14" s="41">
        <f t="shared" si="1"/>
        <v>1214601.8117441873</v>
      </c>
      <c r="AA14" s="41">
        <f t="shared" si="1"/>
        <v>1102160.6927445012</v>
      </c>
      <c r="AB14" s="41">
        <f t="shared" si="1"/>
        <v>984659.72338982928</v>
      </c>
      <c r="AC14" s="41">
        <f t="shared" si="1"/>
        <v>861871.21041419706</v>
      </c>
      <c r="AD14" s="41">
        <f t="shared" si="1"/>
        <v>733557.21435466153</v>
      </c>
      <c r="AE14" s="41">
        <f t="shared" si="1"/>
        <v>599469.08847244678</v>
      </c>
      <c r="AF14" s="41">
        <f t="shared" si="1"/>
        <v>459346.99692553235</v>
      </c>
      <c r="AG14" s="41">
        <f t="shared" si="1"/>
        <v>312919.41125900683</v>
      </c>
      <c r="AH14" s="134">
        <f t="shared" si="1"/>
        <v>159902.58423748764</v>
      </c>
    </row>
    <row r="15" spans="1:34" x14ac:dyDescent="0.2">
      <c r="A15" s="40"/>
      <c r="B15" s="40"/>
      <c r="C15" s="136" t="s">
        <v>197</v>
      </c>
      <c r="D15" s="43"/>
      <c r="E15" s="41">
        <f>E14+E13</f>
        <v>1988286.75</v>
      </c>
      <c r="F15" s="41">
        <f t="shared" ref="F15:AH15" si="2">F14+F13</f>
        <v>2077759.6537499998</v>
      </c>
      <c r="G15" s="41">
        <f t="shared" si="2"/>
        <v>2171258.8381687501</v>
      </c>
      <c r="H15" s="41">
        <f t="shared" si="2"/>
        <v>2268965.4858863438</v>
      </c>
      <c r="I15" s="41">
        <f t="shared" si="2"/>
        <v>2371068.932751229</v>
      </c>
      <c r="J15" s="41">
        <f t="shared" si="2"/>
        <v>6191060.3797955792</v>
      </c>
      <c r="K15" s="41">
        <f t="shared" si="2"/>
        <v>6135461.6958300304</v>
      </c>
      <c r="L15" s="41">
        <f t="shared" si="2"/>
        <v>6077361.0710860332</v>
      </c>
      <c r="M15" s="41">
        <f t="shared" si="2"/>
        <v>6016645.9182285555</v>
      </c>
      <c r="N15" s="41">
        <f t="shared" si="2"/>
        <v>5953198.5834924914</v>
      </c>
      <c r="O15" s="41">
        <f t="shared" si="2"/>
        <v>5886896.1186933052</v>
      </c>
      <c r="P15" s="41">
        <f t="shared" si="2"/>
        <v>5817610.0429781545</v>
      </c>
      <c r="Q15" s="41">
        <f t="shared" si="2"/>
        <v>5745206.0938558225</v>
      </c>
      <c r="R15" s="41">
        <f t="shared" si="2"/>
        <v>5669543.9670229852</v>
      </c>
      <c r="S15" s="41">
        <f t="shared" si="2"/>
        <v>5590477.0444826707</v>
      </c>
      <c r="T15" s="41">
        <f t="shared" si="2"/>
        <v>5507852.1104280427</v>
      </c>
      <c r="U15" s="41">
        <f t="shared" si="2"/>
        <v>5421509.0543409549</v>
      </c>
      <c r="V15" s="41">
        <f t="shared" si="2"/>
        <v>5331280.5607299488</v>
      </c>
      <c r="W15" s="41">
        <f t="shared" si="2"/>
        <v>5236991.7849064479</v>
      </c>
      <c r="X15" s="41">
        <f t="shared" si="2"/>
        <v>5138460.0141708888</v>
      </c>
      <c r="Y15" s="41">
        <f t="shared" si="2"/>
        <v>5035494.3137522303</v>
      </c>
      <c r="Z15" s="41">
        <f t="shared" si="2"/>
        <v>4927895.1568147317</v>
      </c>
      <c r="AA15" s="41">
        <f t="shared" si="2"/>
        <v>4815454.0378150456</v>
      </c>
      <c r="AB15" s="41">
        <f t="shared" si="2"/>
        <v>4697953.0684603732</v>
      </c>
      <c r="AC15" s="41">
        <f t="shared" si="2"/>
        <v>4575164.555484741</v>
      </c>
      <c r="AD15" s="41">
        <f t="shared" si="2"/>
        <v>4446850.5594252059</v>
      </c>
      <c r="AE15" s="41">
        <f t="shared" si="2"/>
        <v>4312762.4335429911</v>
      </c>
      <c r="AF15" s="41">
        <f t="shared" si="2"/>
        <v>4172640.3419960765</v>
      </c>
      <c r="AG15" s="41">
        <f t="shared" si="2"/>
        <v>4026212.7563295509</v>
      </c>
      <c r="AH15" s="134">
        <f t="shared" si="2"/>
        <v>3873195.9293080317</v>
      </c>
    </row>
    <row r="16" spans="1:34" x14ac:dyDescent="0.2">
      <c r="A16" s="40"/>
      <c r="B16" s="40"/>
      <c r="C16" s="136" t="s">
        <v>242</v>
      </c>
      <c r="D16" s="43"/>
      <c r="E16" s="41">
        <f>E13-E14</f>
        <v>-1988286.75</v>
      </c>
      <c r="F16" s="41">
        <f t="shared" ref="F16:G16" si="3">F13-F14</f>
        <v>-2077759.6537499998</v>
      </c>
      <c r="G16" s="41">
        <f t="shared" si="3"/>
        <v>-2171258.8381687501</v>
      </c>
      <c r="H16" s="41">
        <f>H13-H14</f>
        <v>-2268965.4858863438</v>
      </c>
      <c r="I16" s="41">
        <f>I13-I14</f>
        <v>-2371068.932751229</v>
      </c>
      <c r="J16" s="41">
        <f>J13-J14</f>
        <v>1235526.3103455096</v>
      </c>
      <c r="K16" s="41">
        <f t="shared" ref="K16:AH16" si="4">K13-K14</f>
        <v>1291124.9943110575</v>
      </c>
      <c r="L16" s="41">
        <f t="shared" si="4"/>
        <v>1349225.6190550551</v>
      </c>
      <c r="M16" s="41">
        <f t="shared" si="4"/>
        <v>1409940.7719125324</v>
      </c>
      <c r="N16" s="41">
        <f t="shared" si="4"/>
        <v>1473388.1066485965</v>
      </c>
      <c r="O16" s="41">
        <f t="shared" si="4"/>
        <v>1539690.5714477831</v>
      </c>
      <c r="P16" s="41">
        <f t="shared" si="4"/>
        <v>1608976.6471629334</v>
      </c>
      <c r="Q16" s="41">
        <f t="shared" si="4"/>
        <v>1681380.5962852654</v>
      </c>
      <c r="R16" s="41">
        <f t="shared" si="4"/>
        <v>1757042.7231181026</v>
      </c>
      <c r="S16" s="41">
        <f t="shared" si="4"/>
        <v>1836109.6456584174</v>
      </c>
      <c r="T16" s="41">
        <f t="shared" si="4"/>
        <v>1918734.5797130461</v>
      </c>
      <c r="U16" s="41">
        <f t="shared" si="4"/>
        <v>2005077.6358001332</v>
      </c>
      <c r="V16" s="41">
        <f t="shared" si="4"/>
        <v>2095306.1294111391</v>
      </c>
      <c r="W16" s="41">
        <f t="shared" si="4"/>
        <v>2189594.9052346405</v>
      </c>
      <c r="X16" s="41">
        <f t="shared" si="4"/>
        <v>2288126.6759701995</v>
      </c>
      <c r="Y16" s="41">
        <f t="shared" si="4"/>
        <v>2391092.3763888581</v>
      </c>
      <c r="Z16" s="41">
        <f t="shared" si="4"/>
        <v>2498691.5333263567</v>
      </c>
      <c r="AA16" s="41">
        <f t="shared" si="4"/>
        <v>2611132.6523260428</v>
      </c>
      <c r="AB16" s="41">
        <f t="shared" si="4"/>
        <v>2728633.6216807151</v>
      </c>
      <c r="AC16" s="41">
        <f t="shared" si="4"/>
        <v>2851422.1346563473</v>
      </c>
      <c r="AD16" s="41">
        <f t="shared" si="4"/>
        <v>2979736.1307158824</v>
      </c>
      <c r="AE16" s="41">
        <f t="shared" si="4"/>
        <v>3113824.2565980973</v>
      </c>
      <c r="AF16" s="41">
        <f t="shared" si="4"/>
        <v>3253946.3481450118</v>
      </c>
      <c r="AG16" s="41">
        <f t="shared" si="4"/>
        <v>3400373.9338115375</v>
      </c>
      <c r="AH16" s="134">
        <f t="shared" si="4"/>
        <v>3553390.7608330566</v>
      </c>
    </row>
    <row r="17" spans="1:34" x14ac:dyDescent="0.2">
      <c r="A17" s="40"/>
      <c r="B17" s="40"/>
      <c r="C17" s="145" t="s">
        <v>198</v>
      </c>
      <c r="D17" s="146">
        <f>K4</f>
        <v>44184150</v>
      </c>
      <c r="E17" s="146">
        <f>D17-E16</f>
        <v>46172436.75</v>
      </c>
      <c r="F17" s="146">
        <f t="shared" ref="F17:Y17" si="5">E17-F16</f>
        <v>48250196.403750002</v>
      </c>
      <c r="G17" s="146">
        <f t="shared" si="5"/>
        <v>50421455.24191875</v>
      </c>
      <c r="H17" s="146">
        <f t="shared" si="5"/>
        <v>52690420.727805093</v>
      </c>
      <c r="I17" s="146">
        <f t="shared" si="5"/>
        <v>55061489.660556324</v>
      </c>
      <c r="J17" s="146">
        <f t="shared" si="5"/>
        <v>53825963.350210816</v>
      </c>
      <c r="K17" s="146">
        <f t="shared" si="5"/>
        <v>52534838.355899759</v>
      </c>
      <c r="L17" s="146">
        <f t="shared" si="5"/>
        <v>51185612.736844704</v>
      </c>
      <c r="M17" s="146">
        <f t="shared" si="5"/>
        <v>49775671.964932173</v>
      </c>
      <c r="N17" s="146">
        <f t="shared" si="5"/>
        <v>48302283.858283579</v>
      </c>
      <c r="O17" s="146">
        <f t="shared" si="5"/>
        <v>46762593.286835797</v>
      </c>
      <c r="P17" s="146">
        <f t="shared" si="5"/>
        <v>45153616.639672861</v>
      </c>
      <c r="Q17" s="146">
        <f t="shared" si="5"/>
        <v>43472236.043387592</v>
      </c>
      <c r="R17" s="146">
        <f t="shared" si="5"/>
        <v>41715193.320269488</v>
      </c>
      <c r="S17" s="146">
        <f t="shared" si="5"/>
        <v>39879083.674611069</v>
      </c>
      <c r="T17" s="146">
        <f t="shared" si="5"/>
        <v>37960349.094898023</v>
      </c>
      <c r="U17" s="146">
        <f t="shared" si="5"/>
        <v>35955271.459097892</v>
      </c>
      <c r="V17" s="146">
        <f t="shared" si="5"/>
        <v>33859965.329686753</v>
      </c>
      <c r="W17" s="146">
        <f t="shared" si="5"/>
        <v>31670370.424452111</v>
      </c>
      <c r="X17" s="146">
        <f t="shared" si="5"/>
        <v>29382243.748481911</v>
      </c>
      <c r="Y17" s="146">
        <f t="shared" si="5"/>
        <v>26991151.372093052</v>
      </c>
      <c r="Z17" s="146">
        <f>Y17-Z16</f>
        <v>24492459.838766694</v>
      </c>
      <c r="AA17" s="146">
        <f t="shared" ref="AA17:AH17" si="6">Z17-AA16</f>
        <v>21881327.18644065</v>
      </c>
      <c r="AB17" s="146">
        <f t="shared" si="6"/>
        <v>19152693.564759936</v>
      </c>
      <c r="AC17" s="146">
        <f t="shared" si="6"/>
        <v>16301271.430103589</v>
      </c>
      <c r="AD17" s="146">
        <f t="shared" si="6"/>
        <v>13321535.299387706</v>
      </c>
      <c r="AE17" s="146">
        <f t="shared" si="6"/>
        <v>10207711.042789608</v>
      </c>
      <c r="AF17" s="146">
        <f t="shared" si="6"/>
        <v>6953764.6946445964</v>
      </c>
      <c r="AG17" s="146">
        <f t="shared" si="6"/>
        <v>3553390.760833059</v>
      </c>
      <c r="AH17" s="147">
        <f t="shared" si="6"/>
        <v>0</v>
      </c>
    </row>
    <row r="18" spans="1:34" x14ac:dyDescent="0.2">
      <c r="A18" s="40"/>
      <c r="B18" s="40"/>
      <c r="C18" s="57"/>
      <c r="D18" s="40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0"/>
      <c r="P18" s="40"/>
    </row>
    <row r="19" spans="1:34" ht="18" x14ac:dyDescent="0.2">
      <c r="A19" s="40"/>
      <c r="B19" s="40"/>
      <c r="C19" s="138" t="s">
        <v>90</v>
      </c>
      <c r="D19" s="114">
        <v>0</v>
      </c>
      <c r="E19" s="114">
        <v>1</v>
      </c>
      <c r="F19" s="114">
        <v>2</v>
      </c>
      <c r="G19" s="114">
        <v>3</v>
      </c>
      <c r="H19" s="114">
        <v>4</v>
      </c>
      <c r="I19" s="114">
        <v>5</v>
      </c>
      <c r="J19" s="114">
        <v>6</v>
      </c>
      <c r="K19" s="114">
        <v>7</v>
      </c>
      <c r="L19" s="114">
        <v>8</v>
      </c>
      <c r="M19" s="114">
        <v>9</v>
      </c>
      <c r="N19" s="114">
        <v>10</v>
      </c>
      <c r="O19" s="114">
        <v>11</v>
      </c>
      <c r="P19" s="114">
        <v>12</v>
      </c>
      <c r="Q19" s="114">
        <v>13</v>
      </c>
      <c r="R19" s="114">
        <v>14</v>
      </c>
      <c r="S19" s="114">
        <v>15</v>
      </c>
      <c r="T19" s="115">
        <v>16</v>
      </c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</row>
    <row r="20" spans="1:34" x14ac:dyDescent="0.2">
      <c r="A20" s="40"/>
      <c r="B20" s="40"/>
      <c r="C20" s="135" t="s">
        <v>199</v>
      </c>
      <c r="D20" s="40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0"/>
      <c r="P20" s="40"/>
      <c r="T20" s="133"/>
    </row>
    <row r="21" spans="1:34" x14ac:dyDescent="0.2">
      <c r="A21" s="40"/>
      <c r="B21" s="40"/>
      <c r="C21" s="136" t="s">
        <v>102</v>
      </c>
      <c r="D21" s="40"/>
      <c r="E21" s="41">
        <f>'Pro Forma'!C51</f>
        <v>0</v>
      </c>
      <c r="F21" s="41">
        <f>'Pro Forma'!D51</f>
        <v>0</v>
      </c>
      <c r="G21" s="41">
        <f>'Pro Forma'!E51</f>
        <v>3183089.2329999991</v>
      </c>
      <c r="H21" s="41">
        <f>'Pro Forma'!F51</f>
        <v>3508096.5558400005</v>
      </c>
      <c r="I21" s="41">
        <f>'Pro Forma'!G51</f>
        <v>3758579.8282155991</v>
      </c>
      <c r="J21" s="41">
        <f>'Pro Forma'!H51</f>
        <v>4015932.0641514771</v>
      </c>
      <c r="K21" s="41">
        <f>'Pro Forma'!I51</f>
        <v>4280346.4218622167</v>
      </c>
      <c r="L21" s="41">
        <f>'Pro Forma'!J51</f>
        <v>4552021.5960950032</v>
      </c>
      <c r="M21" s="41">
        <f>'Pro Forma'!K51</f>
        <v>4831161.9790613111</v>
      </c>
      <c r="N21" s="41">
        <f>'Pro Forma'!L51</f>
        <v>5117977.826093277</v>
      </c>
      <c r="O21" s="41">
        <f>'Pro Forma'!M51</f>
        <v>5412685.4261644036</v>
      </c>
      <c r="P21" s="41">
        <f>'Pro Forma'!N51</f>
        <v>5715507.2774184346</v>
      </c>
      <c r="Q21" s="41">
        <f>'Pro Forma'!O51</f>
        <v>6026672.267854467</v>
      </c>
      <c r="R21" s="41">
        <f>'Pro Forma'!P51</f>
        <v>6346415.8613208476</v>
      </c>
      <c r="S21" s="41">
        <f>'Pro Forma'!Q51</f>
        <v>146927275.21636945</v>
      </c>
      <c r="T21" s="134">
        <f>'Pro Forma'!R51</f>
        <v>7012614.7463697307</v>
      </c>
    </row>
    <row r="22" spans="1:34" x14ac:dyDescent="0.2">
      <c r="A22" s="40"/>
      <c r="B22" s="40"/>
      <c r="C22" s="136" t="s">
        <v>200</v>
      </c>
      <c r="D22" s="40"/>
      <c r="E22" s="41">
        <f>depcostbasis/deplife</f>
        <v>4907466.666666667</v>
      </c>
      <c r="F22" s="41">
        <f t="shared" ref="F22:S22" si="7">depcostbasis/deplife</f>
        <v>4907466.666666667</v>
      </c>
      <c r="G22" s="41">
        <f t="shared" si="7"/>
        <v>4907466.666666667</v>
      </c>
      <c r="H22" s="41">
        <f t="shared" si="7"/>
        <v>4907466.666666667</v>
      </c>
      <c r="I22" s="41">
        <f t="shared" si="7"/>
        <v>4907466.666666667</v>
      </c>
      <c r="J22" s="41">
        <f t="shared" si="7"/>
        <v>4907466.666666667</v>
      </c>
      <c r="K22" s="41">
        <f t="shared" si="7"/>
        <v>4907466.666666667</v>
      </c>
      <c r="L22" s="41">
        <f t="shared" si="7"/>
        <v>4907466.666666667</v>
      </c>
      <c r="M22" s="41">
        <f t="shared" si="7"/>
        <v>4907466.666666667</v>
      </c>
      <c r="N22" s="41">
        <f t="shared" si="7"/>
        <v>4907466.666666667</v>
      </c>
      <c r="O22" s="41">
        <f t="shared" si="7"/>
        <v>4907466.666666667</v>
      </c>
      <c r="P22" s="41">
        <f t="shared" si="7"/>
        <v>4907466.666666667</v>
      </c>
      <c r="Q22" s="41">
        <f t="shared" si="7"/>
        <v>4907466.666666667</v>
      </c>
      <c r="R22" s="41">
        <f t="shared" si="7"/>
        <v>4907466.666666667</v>
      </c>
      <c r="S22" s="41">
        <f t="shared" si="7"/>
        <v>4907466.666666667</v>
      </c>
      <c r="T22" s="134"/>
    </row>
    <row r="23" spans="1:34" ht="17" thickBot="1" x14ac:dyDescent="0.25">
      <c r="A23" s="40"/>
      <c r="B23" s="40"/>
      <c r="C23" s="136" t="s">
        <v>201</v>
      </c>
      <c r="D23" s="40"/>
      <c r="E23" s="45">
        <f>E14</f>
        <v>1988286.75</v>
      </c>
      <c r="F23" s="45">
        <f t="shared" ref="F23:S23" si="8">F14</f>
        <v>2077759.6537499998</v>
      </c>
      <c r="G23" s="45">
        <f t="shared" si="8"/>
        <v>2171258.8381687501</v>
      </c>
      <c r="H23" s="45">
        <f t="shared" si="8"/>
        <v>2268965.4858863438</v>
      </c>
      <c r="I23" s="45">
        <f t="shared" si="8"/>
        <v>2371068.932751229</v>
      </c>
      <c r="J23" s="45">
        <f t="shared" si="8"/>
        <v>2477767.0347250346</v>
      </c>
      <c r="K23" s="45">
        <f t="shared" si="8"/>
        <v>2422168.3507594867</v>
      </c>
      <c r="L23" s="45">
        <f t="shared" si="8"/>
        <v>2364067.7260154891</v>
      </c>
      <c r="M23" s="45">
        <f t="shared" si="8"/>
        <v>2303352.5731580118</v>
      </c>
      <c r="N23" s="45">
        <f t="shared" si="8"/>
        <v>2239905.2384219477</v>
      </c>
      <c r="O23" s="45">
        <f t="shared" si="8"/>
        <v>2173602.773622761</v>
      </c>
      <c r="P23" s="45">
        <f t="shared" si="8"/>
        <v>2104316.6979076108</v>
      </c>
      <c r="Q23" s="45">
        <f t="shared" si="8"/>
        <v>2031912.7487852788</v>
      </c>
      <c r="R23" s="45">
        <f t="shared" si="8"/>
        <v>1956250.6219524415</v>
      </c>
      <c r="S23" s="45">
        <f t="shared" si="8"/>
        <v>1877183.6994121268</v>
      </c>
      <c r="T23" s="142"/>
    </row>
    <row r="24" spans="1:34" ht="17" thickTop="1" x14ac:dyDescent="0.2">
      <c r="A24" s="40"/>
      <c r="B24" s="40"/>
      <c r="C24" s="136" t="s">
        <v>202</v>
      </c>
      <c r="D24" s="40"/>
      <c r="E24" s="44">
        <f>E21-E22-E23</f>
        <v>-6895753.416666667</v>
      </c>
      <c r="F24" s="44">
        <f t="shared" ref="F24:S24" si="9">F21-F22-F23</f>
        <v>-6985226.3204166666</v>
      </c>
      <c r="G24" s="44">
        <f t="shared" si="9"/>
        <v>-3895636.271835418</v>
      </c>
      <c r="H24" s="44">
        <f t="shared" si="9"/>
        <v>-3668335.5967130102</v>
      </c>
      <c r="I24" s="44">
        <f t="shared" si="9"/>
        <v>-3519955.7712022969</v>
      </c>
      <c r="J24" s="44">
        <f t="shared" si="9"/>
        <v>-3369301.6372402245</v>
      </c>
      <c r="K24" s="44">
        <f t="shared" si="9"/>
        <v>-3049288.595563937</v>
      </c>
      <c r="L24" s="44">
        <f t="shared" si="9"/>
        <v>-2719512.7965871529</v>
      </c>
      <c r="M24" s="44">
        <f t="shared" si="9"/>
        <v>-2379657.2607633676</v>
      </c>
      <c r="N24" s="44">
        <f t="shared" si="9"/>
        <v>-2029394.0789953377</v>
      </c>
      <c r="O24" s="44">
        <f t="shared" si="9"/>
        <v>-1668384.0141250244</v>
      </c>
      <c r="P24" s="44">
        <f t="shared" si="9"/>
        <v>-1296276.0871558432</v>
      </c>
      <c r="Q24" s="44">
        <f t="shared" si="9"/>
        <v>-912707.1475974787</v>
      </c>
      <c r="R24" s="44">
        <f t="shared" si="9"/>
        <v>-517301.42729826085</v>
      </c>
      <c r="S24" s="44">
        <f t="shared" si="9"/>
        <v>140142624.85029066</v>
      </c>
      <c r="T24" s="105"/>
    </row>
    <row r="25" spans="1:34" ht="17" thickBot="1" x14ac:dyDescent="0.25">
      <c r="A25" s="40"/>
      <c r="B25" s="40"/>
      <c r="C25" s="136" t="s">
        <v>203</v>
      </c>
      <c r="D25" s="40"/>
      <c r="E25" s="45">
        <f>OrdTax*E24</f>
        <v>-1448108.2175</v>
      </c>
      <c r="F25" s="45">
        <f t="shared" ref="F25:N25" si="10">OrdTax*F24</f>
        <v>-1466897.5272875</v>
      </c>
      <c r="G25" s="45">
        <f t="shared" si="10"/>
        <v>-818083.61708543776</v>
      </c>
      <c r="H25" s="45">
        <f t="shared" si="10"/>
        <v>-770350.47530973214</v>
      </c>
      <c r="I25" s="45">
        <f t="shared" si="10"/>
        <v>-739190.71195248235</v>
      </c>
      <c r="J25" s="45">
        <f t="shared" si="10"/>
        <v>-707553.3438204471</v>
      </c>
      <c r="K25" s="45">
        <f t="shared" si="10"/>
        <v>-640350.6050684267</v>
      </c>
      <c r="L25" s="45">
        <f t="shared" si="10"/>
        <v>-571097.68728330208</v>
      </c>
      <c r="M25" s="45">
        <f t="shared" si="10"/>
        <v>-499728.02476030716</v>
      </c>
      <c r="N25" s="45">
        <f t="shared" si="10"/>
        <v>-426172.75658902089</v>
      </c>
      <c r="O25" s="45">
        <f t="shared" ref="O25:S25" si="11">OrdTax*O24</f>
        <v>-350360.64296625514</v>
      </c>
      <c r="P25" s="45">
        <f t="shared" si="11"/>
        <v>-272217.97830272705</v>
      </c>
      <c r="Q25" s="45">
        <f t="shared" si="11"/>
        <v>-191668.50099547053</v>
      </c>
      <c r="R25" s="45">
        <f t="shared" si="11"/>
        <v>-108633.29973263477</v>
      </c>
      <c r="S25" s="45">
        <f t="shared" si="11"/>
        <v>29429951.218561038</v>
      </c>
      <c r="T25" s="142"/>
    </row>
    <row r="26" spans="1:34" ht="17" thickTop="1" x14ac:dyDescent="0.2">
      <c r="A26" s="40"/>
      <c r="B26" s="40"/>
      <c r="C26" s="136" t="s">
        <v>204</v>
      </c>
      <c r="D26" s="40">
        <v>0</v>
      </c>
      <c r="E26" s="44">
        <f>E24-E25</f>
        <v>-5447645.1991666667</v>
      </c>
      <c r="F26" s="44">
        <f t="shared" ref="F26:S26" si="12">F24-F25</f>
        <v>-5518328.7931291666</v>
      </c>
      <c r="G26" s="44">
        <f t="shared" si="12"/>
        <v>-3077552.6547499802</v>
      </c>
      <c r="H26" s="44">
        <f t="shared" si="12"/>
        <v>-2897985.1214032779</v>
      </c>
      <c r="I26" s="44">
        <f t="shared" si="12"/>
        <v>-2780765.0592498146</v>
      </c>
      <c r="J26" s="44">
        <f t="shared" si="12"/>
        <v>-2661748.2934197774</v>
      </c>
      <c r="K26" s="44">
        <f t="shared" si="12"/>
        <v>-2408937.9904955104</v>
      </c>
      <c r="L26" s="44">
        <f t="shared" si="12"/>
        <v>-2148415.1093038507</v>
      </c>
      <c r="M26" s="44">
        <f t="shared" si="12"/>
        <v>-1879929.2360030604</v>
      </c>
      <c r="N26" s="44">
        <f t="shared" si="12"/>
        <v>-1603221.3224063169</v>
      </c>
      <c r="O26" s="44">
        <f t="shared" si="12"/>
        <v>-1318023.3711587694</v>
      </c>
      <c r="P26" s="44">
        <f t="shared" si="12"/>
        <v>-1024058.1088531162</v>
      </c>
      <c r="Q26" s="44">
        <f t="shared" si="12"/>
        <v>-721038.64660200814</v>
      </c>
      <c r="R26" s="44">
        <f t="shared" si="12"/>
        <v>-408668.12756562606</v>
      </c>
      <c r="S26" s="44">
        <f t="shared" si="12"/>
        <v>110712673.63172962</v>
      </c>
      <c r="T26" s="105"/>
    </row>
    <row r="27" spans="1:34" x14ac:dyDescent="0.2">
      <c r="A27" s="40"/>
      <c r="B27" s="40"/>
      <c r="C27" s="136"/>
      <c r="D27" s="40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0"/>
      <c r="P27" s="40"/>
      <c r="T27" s="133"/>
    </row>
    <row r="28" spans="1:34" x14ac:dyDescent="0.2">
      <c r="A28" s="40"/>
      <c r="B28" s="40"/>
      <c r="C28" s="136"/>
      <c r="D28" s="40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0"/>
      <c r="P28" s="40"/>
      <c r="T28" s="133"/>
    </row>
    <row r="29" spans="1:34" x14ac:dyDescent="0.2">
      <c r="A29" s="40"/>
      <c r="B29" s="40"/>
      <c r="C29" s="135" t="s">
        <v>205</v>
      </c>
      <c r="D29" s="40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0"/>
      <c r="P29" s="40"/>
      <c r="T29" s="133"/>
    </row>
    <row r="30" spans="1:34" x14ac:dyDescent="0.2">
      <c r="A30" s="40"/>
      <c r="B30" s="40"/>
      <c r="C30" s="136" t="s">
        <v>243</v>
      </c>
      <c r="D30" s="40"/>
      <c r="E30" s="44">
        <f>'Pro Forma'!C54+'Pro Forma'!C55</f>
        <v>0</v>
      </c>
      <c r="F30" s="44">
        <f>'Pro Forma'!D54+'Pro Forma'!D55</f>
        <v>0</v>
      </c>
      <c r="G30" s="44">
        <f>'Pro Forma'!E54+'Pro Forma'!E55</f>
        <v>1537800</v>
      </c>
      <c r="H30" s="44">
        <f>'Pro Forma'!F54+'Pro Forma'!F55</f>
        <v>1537800</v>
      </c>
      <c r="I30" s="44">
        <f>'Pro Forma'!G54+'Pro Forma'!G55</f>
        <v>1537800</v>
      </c>
      <c r="J30" s="44">
        <f>'Pro Forma'!H54+'Pro Forma'!H55</f>
        <v>1537800</v>
      </c>
      <c r="K30" s="44">
        <f>'Pro Forma'!I54+'Pro Forma'!I55</f>
        <v>1537800</v>
      </c>
      <c r="L30" s="44">
        <f>'Pro Forma'!J54+'Pro Forma'!J55</f>
        <v>1537800</v>
      </c>
      <c r="M30" s="44">
        <f>'Pro Forma'!K54+'Pro Forma'!K55</f>
        <v>1537800</v>
      </c>
      <c r="N30" s="44">
        <f>'Pro Forma'!L54+'Pro Forma'!L55</f>
        <v>1537800</v>
      </c>
      <c r="O30" s="44">
        <f>'Pro Forma'!M54+'Pro Forma'!M55</f>
        <v>1537800</v>
      </c>
      <c r="P30" s="44">
        <f>'Pro Forma'!N54+'Pro Forma'!N55</f>
        <v>1537800</v>
      </c>
      <c r="Q30" s="44">
        <f>'Pro Forma'!O54+'Pro Forma'!O55</f>
        <v>1537800</v>
      </c>
      <c r="R30" s="44">
        <f>'Pro Forma'!P54+'Pro Forma'!P55</f>
        <v>1537800</v>
      </c>
      <c r="S30" s="44">
        <f>'Pro Forma'!Q54+'Pro Forma'!Q55</f>
        <v>1537800</v>
      </c>
      <c r="T30" s="133"/>
    </row>
    <row r="31" spans="1:34" x14ac:dyDescent="0.2">
      <c r="A31" s="40"/>
      <c r="B31" s="40"/>
      <c r="C31" s="136" t="s">
        <v>73</v>
      </c>
      <c r="D31" s="44">
        <f>SUM('Pro Forma'!B59:B65)</f>
        <v>36806000</v>
      </c>
      <c r="E31" s="44">
        <f>SUM('Pro Forma'!C59:C65)</f>
        <v>36806000</v>
      </c>
      <c r="F31" s="44">
        <f>SUM('Pro Forma'!D59:D65)</f>
        <v>36806000</v>
      </c>
      <c r="G31" s="44">
        <f>SUM('Pro Forma'!E59:E65)</f>
        <v>0</v>
      </c>
      <c r="H31" s="44">
        <f>SUM('Pro Forma'!F59:F65)</f>
        <v>0</v>
      </c>
      <c r="I31" s="44">
        <f>SUM('Pro Forma'!G59:G65)</f>
        <v>0</v>
      </c>
      <c r="J31" s="44">
        <f>SUM('Pro Forma'!H59:H65)</f>
        <v>0</v>
      </c>
      <c r="K31" s="44">
        <f>SUM('Pro Forma'!I59:I65)</f>
        <v>0</v>
      </c>
      <c r="L31" s="44">
        <f>SUM('Pro Forma'!J59:J65)</f>
        <v>0</v>
      </c>
      <c r="M31" s="44">
        <f>SUM('Pro Forma'!K59:K65)</f>
        <v>0</v>
      </c>
      <c r="N31" s="44">
        <f>SUM('Pro Forma'!L59:L65)</f>
        <v>0</v>
      </c>
      <c r="O31" s="44">
        <f>SUM('Pro Forma'!M59:M65)</f>
        <v>0</v>
      </c>
      <c r="P31" s="44">
        <f>SUM('Pro Forma'!N59:N65)</f>
        <v>0</v>
      </c>
      <c r="Q31" s="44">
        <f>SUM('Pro Forma'!O59:O65)</f>
        <v>0</v>
      </c>
      <c r="R31" s="44">
        <f>SUM('Pro Forma'!P59:P65)</f>
        <v>0</v>
      </c>
      <c r="S31" s="44">
        <f>SUM('Pro Forma'!Q59:Q65)</f>
        <v>0</v>
      </c>
      <c r="T31" s="133"/>
    </row>
    <row r="32" spans="1:34" x14ac:dyDescent="0.2">
      <c r="A32" s="40"/>
      <c r="B32" s="40"/>
      <c r="C32" s="136" t="s">
        <v>206</v>
      </c>
      <c r="D32" s="40"/>
      <c r="E32" s="44">
        <f>'Pro Forma'!C68+'Pro Forma'!C69</f>
        <v>0</v>
      </c>
      <c r="F32" s="44">
        <f>'Pro Forma'!D68+'Pro Forma'!D69</f>
        <v>0</v>
      </c>
      <c r="G32" s="44">
        <f>'Pro Forma'!E68+'Pro Forma'!E69</f>
        <v>1358990.7692307692</v>
      </c>
      <c r="H32" s="44">
        <f>'Pro Forma'!F68+'Pro Forma'!F69</f>
        <v>1358990.7692307692</v>
      </c>
      <c r="I32" s="44">
        <f>'Pro Forma'!G68+'Pro Forma'!G69</f>
        <v>1358990.7692307692</v>
      </c>
      <c r="J32" s="44">
        <f>'Pro Forma'!H68+'Pro Forma'!H69</f>
        <v>1358990.7692307692</v>
      </c>
      <c r="K32" s="44">
        <f>'Pro Forma'!I68+'Pro Forma'!I69</f>
        <v>1358990.7692307692</v>
      </c>
      <c r="L32" s="44">
        <f>'Pro Forma'!J68+'Pro Forma'!J69</f>
        <v>1358990.7692307692</v>
      </c>
      <c r="M32" s="44">
        <f>'Pro Forma'!K68+'Pro Forma'!K69</f>
        <v>1358990.7692307692</v>
      </c>
      <c r="N32" s="44">
        <f>'Pro Forma'!L68+'Pro Forma'!L69</f>
        <v>1358990.7692307692</v>
      </c>
      <c r="O32" s="44">
        <f>'Pro Forma'!M68+'Pro Forma'!M69</f>
        <v>1358990.7692307692</v>
      </c>
      <c r="P32" s="44">
        <f>'Pro Forma'!N68+'Pro Forma'!N69</f>
        <v>1358990.7692307692</v>
      </c>
      <c r="Q32" s="44">
        <f>'Pro Forma'!O68+'Pro Forma'!O69</f>
        <v>1358990.7692307692</v>
      </c>
      <c r="R32" s="44">
        <f>'Pro Forma'!P68+'Pro Forma'!P69</f>
        <v>1358990.7692307692</v>
      </c>
      <c r="S32" s="44">
        <f>'Pro Forma'!Q68+'Pro Forma'!Q69</f>
        <v>1358990.7692307692</v>
      </c>
      <c r="T32" s="105"/>
    </row>
    <row r="33" spans="1:20" x14ac:dyDescent="0.2">
      <c r="A33" s="40"/>
      <c r="B33" s="40"/>
      <c r="C33" s="136" t="s">
        <v>200</v>
      </c>
      <c r="D33" s="40"/>
      <c r="E33" s="44">
        <f>E22</f>
        <v>4907466.666666667</v>
      </c>
      <c r="F33" s="44">
        <f t="shared" ref="F33:N33" si="13">F22</f>
        <v>4907466.666666667</v>
      </c>
      <c r="G33" s="44">
        <f t="shared" si="13"/>
        <v>4907466.666666667</v>
      </c>
      <c r="H33" s="44">
        <f t="shared" si="13"/>
        <v>4907466.666666667</v>
      </c>
      <c r="I33" s="44">
        <f t="shared" si="13"/>
        <v>4907466.666666667</v>
      </c>
      <c r="J33" s="44">
        <f t="shared" si="13"/>
        <v>4907466.666666667</v>
      </c>
      <c r="K33" s="44">
        <f t="shared" si="13"/>
        <v>4907466.666666667</v>
      </c>
      <c r="L33" s="44">
        <f t="shared" si="13"/>
        <v>4907466.666666667</v>
      </c>
      <c r="M33" s="44">
        <f t="shared" si="13"/>
        <v>4907466.666666667</v>
      </c>
      <c r="N33" s="44">
        <f t="shared" si="13"/>
        <v>4907466.666666667</v>
      </c>
      <c r="O33" s="44">
        <f>O22</f>
        <v>4907466.666666667</v>
      </c>
      <c r="P33" s="44">
        <f>P22</f>
        <v>4907466.666666667</v>
      </c>
      <c r="Q33" s="44">
        <f>Q22</f>
        <v>4907466.666666667</v>
      </c>
      <c r="R33" s="44">
        <f>R22</f>
        <v>4907466.666666667</v>
      </c>
      <c r="S33" s="44">
        <f>S22</f>
        <v>4907466.666666667</v>
      </c>
      <c r="T33" s="105"/>
    </row>
    <row r="34" spans="1:20" ht="17" thickBot="1" x14ac:dyDescent="0.25">
      <c r="A34" s="40"/>
      <c r="B34" s="40"/>
      <c r="C34" s="136" t="s">
        <v>207</v>
      </c>
      <c r="D34" s="74"/>
      <c r="E34" s="45">
        <f>$K$6</f>
        <v>3713293.3450705442</v>
      </c>
      <c r="F34" s="45">
        <f t="shared" ref="F34:S34" si="14">$K$6</f>
        <v>3713293.3450705442</v>
      </c>
      <c r="G34" s="45">
        <f t="shared" si="14"/>
        <v>3713293.3450705442</v>
      </c>
      <c r="H34" s="45">
        <f t="shared" si="14"/>
        <v>3713293.3450705442</v>
      </c>
      <c r="I34" s="45">
        <f t="shared" si="14"/>
        <v>3713293.3450705442</v>
      </c>
      <c r="J34" s="45">
        <f t="shared" si="14"/>
        <v>3713293.3450705442</v>
      </c>
      <c r="K34" s="45">
        <f t="shared" si="14"/>
        <v>3713293.3450705442</v>
      </c>
      <c r="L34" s="45">
        <f t="shared" si="14"/>
        <v>3713293.3450705442</v>
      </c>
      <c r="M34" s="45">
        <f t="shared" si="14"/>
        <v>3713293.3450705442</v>
      </c>
      <c r="N34" s="45">
        <f t="shared" si="14"/>
        <v>3713293.3450705442</v>
      </c>
      <c r="O34" s="45">
        <f t="shared" si="14"/>
        <v>3713293.3450705442</v>
      </c>
      <c r="P34" s="45">
        <f t="shared" si="14"/>
        <v>3713293.3450705442</v>
      </c>
      <c r="Q34" s="45">
        <f t="shared" si="14"/>
        <v>3713293.3450705442</v>
      </c>
      <c r="R34" s="45">
        <f t="shared" si="14"/>
        <v>3713293.3450705442</v>
      </c>
      <c r="S34" s="45">
        <f t="shared" si="14"/>
        <v>3713293.3450705442</v>
      </c>
      <c r="T34" s="142"/>
    </row>
    <row r="35" spans="1:20" ht="17" thickTop="1" x14ac:dyDescent="0.2">
      <c r="A35" s="40"/>
      <c r="B35" s="51"/>
      <c r="C35" s="137" t="s">
        <v>208</v>
      </c>
      <c r="D35" s="52">
        <f>D26-D31</f>
        <v>-36806000</v>
      </c>
      <c r="E35" s="52">
        <f>E26-E30-E31-E32+E33-E34</f>
        <v>-41059471.877570547</v>
      </c>
      <c r="F35" s="52">
        <f t="shared" ref="F35:S35" si="15">F26-F30-F31-F32+F33-F34</f>
        <v>-41130155.471533045</v>
      </c>
      <c r="G35" s="52">
        <f t="shared" si="15"/>
        <v>-4780170.1023846269</v>
      </c>
      <c r="H35" s="52">
        <f t="shared" si="15"/>
        <v>-4600602.5690379236</v>
      </c>
      <c r="I35" s="52">
        <f t="shared" si="15"/>
        <v>-4483382.5068844613</v>
      </c>
      <c r="J35" s="52">
        <f t="shared" si="15"/>
        <v>-4364365.7410544232</v>
      </c>
      <c r="K35" s="52">
        <f t="shared" si="15"/>
        <v>-4111555.4381301566</v>
      </c>
      <c r="L35" s="52">
        <f t="shared" si="15"/>
        <v>-3851032.5569384969</v>
      </c>
      <c r="M35" s="52">
        <f t="shared" si="15"/>
        <v>-3582546.683637707</v>
      </c>
      <c r="N35" s="52">
        <f>N26-N30-N31-N32+N33-N34</f>
        <v>-3305838.7700409633</v>
      </c>
      <c r="O35" s="52">
        <f t="shared" si="15"/>
        <v>-3020640.8187934156</v>
      </c>
      <c r="P35" s="52">
        <f t="shared" si="15"/>
        <v>-2726675.5564877628</v>
      </c>
      <c r="Q35" s="52">
        <f t="shared" si="15"/>
        <v>-2423656.0942366547</v>
      </c>
      <c r="R35" s="52">
        <f t="shared" si="15"/>
        <v>-2111285.5752002723</v>
      </c>
      <c r="S35" s="52">
        <f t="shared" si="15"/>
        <v>109010056.18409498</v>
      </c>
      <c r="T35" s="143"/>
    </row>
    <row r="36" spans="1:20" x14ac:dyDescent="0.2">
      <c r="A36" s="40"/>
      <c r="B36" s="40"/>
      <c r="C36" s="136" t="s">
        <v>203</v>
      </c>
      <c r="D36" s="40"/>
      <c r="E36" s="44">
        <f>E25</f>
        <v>-1448108.2175</v>
      </c>
      <c r="F36" s="44">
        <f t="shared" ref="F36:N36" si="16">F25</f>
        <v>-1466897.5272875</v>
      </c>
      <c r="G36" s="44">
        <f t="shared" si="16"/>
        <v>-818083.61708543776</v>
      </c>
      <c r="H36" s="44">
        <f t="shared" si="16"/>
        <v>-770350.47530973214</v>
      </c>
      <c r="I36" s="44">
        <f t="shared" si="16"/>
        <v>-739190.71195248235</v>
      </c>
      <c r="J36" s="44">
        <f t="shared" si="16"/>
        <v>-707553.3438204471</v>
      </c>
      <c r="K36" s="44">
        <f t="shared" si="16"/>
        <v>-640350.6050684267</v>
      </c>
      <c r="L36" s="44">
        <f t="shared" si="16"/>
        <v>-571097.68728330208</v>
      </c>
      <c r="M36" s="44">
        <f t="shared" si="16"/>
        <v>-499728.02476030716</v>
      </c>
      <c r="N36" s="44">
        <f t="shared" si="16"/>
        <v>-426172.75658902089</v>
      </c>
      <c r="O36" s="44">
        <f>O25</f>
        <v>-350360.64296625514</v>
      </c>
      <c r="P36" s="44">
        <f>P25</f>
        <v>-272217.97830272705</v>
      </c>
      <c r="Q36" s="44">
        <f>Q25</f>
        <v>-191668.50099547053</v>
      </c>
      <c r="R36" s="44">
        <f>R25</f>
        <v>-108633.29973263477</v>
      </c>
      <c r="S36" s="44">
        <f>S25</f>
        <v>29429951.218561038</v>
      </c>
      <c r="T36" s="105"/>
    </row>
    <row r="37" spans="1:20" x14ac:dyDescent="0.2">
      <c r="A37" s="40"/>
      <c r="B37" s="40"/>
      <c r="C37" s="136" t="s">
        <v>209</v>
      </c>
      <c r="D37" s="40"/>
      <c r="E37" s="44">
        <f>E35+E36</f>
        <v>-42507580.095070548</v>
      </c>
      <c r="F37" s="44">
        <f t="shared" ref="F37:S37" si="17">F35+F36</f>
        <v>-42597052.998820543</v>
      </c>
      <c r="G37" s="44">
        <f t="shared" si="17"/>
        <v>-5598253.7194700651</v>
      </c>
      <c r="H37" s="44">
        <f t="shared" si="17"/>
        <v>-5370953.044347656</v>
      </c>
      <c r="I37" s="44">
        <f t="shared" si="17"/>
        <v>-5222573.2188369436</v>
      </c>
      <c r="J37" s="44">
        <f t="shared" si="17"/>
        <v>-5071919.0848748703</v>
      </c>
      <c r="K37" s="44">
        <f t="shared" si="17"/>
        <v>-4751906.0431985836</v>
      </c>
      <c r="L37" s="44">
        <f t="shared" si="17"/>
        <v>-4422130.2442217991</v>
      </c>
      <c r="M37" s="44">
        <f t="shared" si="17"/>
        <v>-4082274.7083980143</v>
      </c>
      <c r="N37" s="44">
        <f t="shared" si="17"/>
        <v>-3732011.5266299844</v>
      </c>
      <c r="O37" s="44">
        <f t="shared" si="17"/>
        <v>-3371001.4617596706</v>
      </c>
      <c r="P37" s="44">
        <f t="shared" si="17"/>
        <v>-2998893.5347904898</v>
      </c>
      <c r="Q37" s="44">
        <f t="shared" si="17"/>
        <v>-2615324.5952321254</v>
      </c>
      <c r="R37" s="44">
        <f t="shared" si="17"/>
        <v>-2219918.8749329071</v>
      </c>
      <c r="S37" s="44">
        <f t="shared" si="17"/>
        <v>138440007.40265602</v>
      </c>
      <c r="T37" s="105"/>
    </row>
    <row r="38" spans="1:20" x14ac:dyDescent="0.2">
      <c r="A38" s="40"/>
      <c r="B38" s="40"/>
      <c r="C38" s="136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T38" s="133"/>
    </row>
    <row r="39" spans="1:20" x14ac:dyDescent="0.2">
      <c r="A39" s="40"/>
      <c r="B39" s="40"/>
      <c r="C39" s="136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T39" s="133"/>
    </row>
    <row r="40" spans="1:20" x14ac:dyDescent="0.2">
      <c r="A40" s="40"/>
      <c r="B40" s="40"/>
      <c r="C40" s="135" t="s">
        <v>210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T40" s="133"/>
    </row>
    <row r="41" spans="1:20" x14ac:dyDescent="0.2">
      <c r="A41" s="40"/>
      <c r="B41" s="40"/>
      <c r="C41" s="136" t="str">
        <f>C21</f>
        <v>NOI</v>
      </c>
      <c r="D41" s="40"/>
      <c r="E41" s="44">
        <f>E21</f>
        <v>0</v>
      </c>
      <c r="F41" s="44">
        <f t="shared" ref="F41:S41" si="18">F21</f>
        <v>0</v>
      </c>
      <c r="G41" s="44">
        <f t="shared" si="18"/>
        <v>3183089.2329999991</v>
      </c>
      <c r="H41" s="44">
        <f t="shared" si="18"/>
        <v>3508096.5558400005</v>
      </c>
      <c r="I41" s="44">
        <f t="shared" si="18"/>
        <v>3758579.8282155991</v>
      </c>
      <c r="J41" s="44">
        <f t="shared" si="18"/>
        <v>4015932.0641514771</v>
      </c>
      <c r="K41" s="44">
        <f t="shared" si="18"/>
        <v>4280346.4218622167</v>
      </c>
      <c r="L41" s="44">
        <f t="shared" si="18"/>
        <v>4552021.5960950032</v>
      </c>
      <c r="M41" s="44">
        <f t="shared" si="18"/>
        <v>4831161.9790613111</v>
      </c>
      <c r="N41" s="44">
        <f t="shared" si="18"/>
        <v>5117977.826093277</v>
      </c>
      <c r="O41" s="44">
        <f t="shared" si="18"/>
        <v>5412685.4261644036</v>
      </c>
      <c r="P41" s="44">
        <f t="shared" si="18"/>
        <v>5715507.2774184346</v>
      </c>
      <c r="Q41" s="44">
        <f t="shared" si="18"/>
        <v>6026672.267854467</v>
      </c>
      <c r="R41" s="44">
        <f t="shared" si="18"/>
        <v>6346415.8613208476</v>
      </c>
      <c r="S41" s="44">
        <f t="shared" si="18"/>
        <v>146927275.21636945</v>
      </c>
      <c r="T41" s="133"/>
    </row>
    <row r="42" spans="1:20" x14ac:dyDescent="0.2">
      <c r="A42" s="40"/>
      <c r="B42" s="40"/>
      <c r="C42" s="136" t="s">
        <v>243</v>
      </c>
      <c r="D42" s="40"/>
      <c r="E42" s="44">
        <f>E30</f>
        <v>0</v>
      </c>
      <c r="F42" s="44">
        <f t="shared" ref="F42:S44" si="19">F30</f>
        <v>0</v>
      </c>
      <c r="G42" s="44">
        <f t="shared" si="19"/>
        <v>1537800</v>
      </c>
      <c r="H42" s="44">
        <f t="shared" si="19"/>
        <v>1537800</v>
      </c>
      <c r="I42" s="44">
        <f t="shared" si="19"/>
        <v>1537800</v>
      </c>
      <c r="J42" s="44">
        <f t="shared" si="19"/>
        <v>1537800</v>
      </c>
      <c r="K42" s="44">
        <f t="shared" si="19"/>
        <v>1537800</v>
      </c>
      <c r="L42" s="44">
        <f t="shared" si="19"/>
        <v>1537800</v>
      </c>
      <c r="M42" s="44">
        <f t="shared" si="19"/>
        <v>1537800</v>
      </c>
      <c r="N42" s="44">
        <f t="shared" si="19"/>
        <v>1537800</v>
      </c>
      <c r="O42" s="44">
        <f t="shared" si="19"/>
        <v>1537800</v>
      </c>
      <c r="P42" s="44">
        <f t="shared" si="19"/>
        <v>1537800</v>
      </c>
      <c r="Q42" s="44">
        <f t="shared" si="19"/>
        <v>1537800</v>
      </c>
      <c r="R42" s="44">
        <f t="shared" si="19"/>
        <v>1537800</v>
      </c>
      <c r="S42" s="44">
        <f t="shared" si="19"/>
        <v>1537800</v>
      </c>
      <c r="T42" s="133"/>
    </row>
    <row r="43" spans="1:20" x14ac:dyDescent="0.2">
      <c r="A43" s="40"/>
      <c r="B43" s="40"/>
      <c r="C43" s="136" t="s">
        <v>73</v>
      </c>
      <c r="D43" s="44">
        <f>D31</f>
        <v>36806000</v>
      </c>
      <c r="E43" s="44">
        <f>E31</f>
        <v>36806000</v>
      </c>
      <c r="F43" s="44">
        <f t="shared" si="19"/>
        <v>36806000</v>
      </c>
      <c r="G43" s="44">
        <f t="shared" si="19"/>
        <v>0</v>
      </c>
      <c r="H43" s="44">
        <f t="shared" si="19"/>
        <v>0</v>
      </c>
      <c r="I43" s="44">
        <f t="shared" si="19"/>
        <v>0</v>
      </c>
      <c r="J43" s="44">
        <f t="shared" si="19"/>
        <v>0</v>
      </c>
      <c r="K43" s="44">
        <f t="shared" si="19"/>
        <v>0</v>
      </c>
      <c r="L43" s="44">
        <f t="shared" si="19"/>
        <v>0</v>
      </c>
      <c r="M43" s="44">
        <f t="shared" si="19"/>
        <v>0</v>
      </c>
      <c r="N43" s="44">
        <f t="shared" si="19"/>
        <v>0</v>
      </c>
      <c r="O43" s="44">
        <f t="shared" si="19"/>
        <v>0</v>
      </c>
      <c r="P43" s="44">
        <f t="shared" si="19"/>
        <v>0</v>
      </c>
      <c r="Q43" s="44">
        <f t="shared" si="19"/>
        <v>0</v>
      </c>
      <c r="R43" s="44">
        <f t="shared" si="19"/>
        <v>0</v>
      </c>
      <c r="S43" s="44">
        <f t="shared" si="19"/>
        <v>0</v>
      </c>
      <c r="T43" s="133"/>
    </row>
    <row r="44" spans="1:20" ht="17" thickBot="1" x14ac:dyDescent="0.25">
      <c r="A44" s="40"/>
      <c r="B44" s="40"/>
      <c r="C44" s="136" t="str">
        <f t="shared" ref="C44:N44" si="20">C32</f>
        <v>Capital Expenditure</v>
      </c>
      <c r="D44" s="40"/>
      <c r="E44" s="45">
        <f>E32</f>
        <v>0</v>
      </c>
      <c r="F44" s="45">
        <f t="shared" si="20"/>
        <v>0</v>
      </c>
      <c r="G44" s="45">
        <f t="shared" si="20"/>
        <v>1358990.7692307692</v>
      </c>
      <c r="H44" s="45">
        <f t="shared" si="20"/>
        <v>1358990.7692307692</v>
      </c>
      <c r="I44" s="45">
        <f t="shared" si="20"/>
        <v>1358990.7692307692</v>
      </c>
      <c r="J44" s="45">
        <f t="shared" si="20"/>
        <v>1358990.7692307692</v>
      </c>
      <c r="K44" s="45">
        <f t="shared" si="20"/>
        <v>1358990.7692307692</v>
      </c>
      <c r="L44" s="45">
        <f t="shared" si="20"/>
        <v>1358990.7692307692</v>
      </c>
      <c r="M44" s="45">
        <f t="shared" si="20"/>
        <v>1358990.7692307692</v>
      </c>
      <c r="N44" s="45">
        <f t="shared" si="20"/>
        <v>1358990.7692307692</v>
      </c>
      <c r="O44" s="45">
        <f t="shared" si="19"/>
        <v>1358990.7692307692</v>
      </c>
      <c r="P44" s="45">
        <f t="shared" si="19"/>
        <v>1358990.7692307692</v>
      </c>
      <c r="Q44" s="45">
        <f t="shared" si="19"/>
        <v>1358990.7692307692</v>
      </c>
      <c r="R44" s="45">
        <f t="shared" si="19"/>
        <v>1358990.7692307692</v>
      </c>
      <c r="S44" s="45">
        <f t="shared" si="19"/>
        <v>1358990.7692307692</v>
      </c>
      <c r="T44" s="133"/>
    </row>
    <row r="45" spans="1:20" ht="17" thickTop="1" x14ac:dyDescent="0.2">
      <c r="A45" s="40"/>
      <c r="B45" s="40"/>
      <c r="C45" s="136" t="s">
        <v>211</v>
      </c>
      <c r="D45" s="40"/>
      <c r="E45" s="44">
        <f>E41-E42-E43-E44</f>
        <v>-36806000</v>
      </c>
      <c r="F45" s="44">
        <f t="shared" ref="F45:S45" si="21">F41-F42-F43-F44</f>
        <v>-36806000</v>
      </c>
      <c r="G45" s="44">
        <f t="shared" si="21"/>
        <v>286298.46376922983</v>
      </c>
      <c r="H45" s="44">
        <f t="shared" si="21"/>
        <v>611305.78660923126</v>
      </c>
      <c r="I45" s="44">
        <f t="shared" si="21"/>
        <v>861789.05898482981</v>
      </c>
      <c r="J45" s="44">
        <f t="shared" si="21"/>
        <v>1119141.2949207078</v>
      </c>
      <c r="K45" s="44">
        <f t="shared" si="21"/>
        <v>1383555.6526314474</v>
      </c>
      <c r="L45" s="44">
        <f t="shared" si="21"/>
        <v>1655230.8268642339</v>
      </c>
      <c r="M45" s="44">
        <f t="shared" si="21"/>
        <v>1934371.2098305419</v>
      </c>
      <c r="N45" s="44">
        <f t="shared" si="21"/>
        <v>2221187.0568625079</v>
      </c>
      <c r="O45" s="44">
        <f t="shared" si="21"/>
        <v>2515894.6569336345</v>
      </c>
      <c r="P45" s="44">
        <f t="shared" si="21"/>
        <v>2818716.5081876656</v>
      </c>
      <c r="Q45" s="44">
        <f t="shared" si="21"/>
        <v>3129881.498623698</v>
      </c>
      <c r="R45" s="44">
        <f t="shared" si="21"/>
        <v>3449625.0920900786</v>
      </c>
      <c r="S45" s="44">
        <f t="shared" si="21"/>
        <v>144030484.44713867</v>
      </c>
      <c r="T45" s="133"/>
    </row>
    <row r="46" spans="1:20" ht="17" thickBot="1" x14ac:dyDescent="0.25">
      <c r="A46" s="40"/>
      <c r="B46" s="40"/>
      <c r="C46" s="136" t="s">
        <v>212</v>
      </c>
      <c r="D46" s="40"/>
      <c r="E46" s="45">
        <f>E15</f>
        <v>1988286.75</v>
      </c>
      <c r="F46" s="45">
        <f t="shared" ref="F46:S46" si="22">F15</f>
        <v>2077759.6537499998</v>
      </c>
      <c r="G46" s="45">
        <f t="shared" si="22"/>
        <v>2171258.8381687501</v>
      </c>
      <c r="H46" s="45">
        <f t="shared" si="22"/>
        <v>2268965.4858863438</v>
      </c>
      <c r="I46" s="45">
        <f t="shared" si="22"/>
        <v>2371068.932751229</v>
      </c>
      <c r="J46" s="45">
        <f t="shared" si="22"/>
        <v>6191060.3797955792</v>
      </c>
      <c r="K46" s="45">
        <f t="shared" si="22"/>
        <v>6135461.6958300304</v>
      </c>
      <c r="L46" s="45">
        <f t="shared" si="22"/>
        <v>6077361.0710860332</v>
      </c>
      <c r="M46" s="45">
        <f t="shared" si="22"/>
        <v>6016645.9182285555</v>
      </c>
      <c r="N46" s="45">
        <f t="shared" si="22"/>
        <v>5953198.5834924914</v>
      </c>
      <c r="O46" s="45">
        <f t="shared" si="22"/>
        <v>5886896.1186933052</v>
      </c>
      <c r="P46" s="45">
        <f t="shared" si="22"/>
        <v>5817610.0429781545</v>
      </c>
      <c r="Q46" s="45">
        <f t="shared" si="22"/>
        <v>5745206.0938558225</v>
      </c>
      <c r="R46" s="45">
        <f t="shared" si="22"/>
        <v>5669543.9670229852</v>
      </c>
      <c r="S46" s="45">
        <f t="shared" si="22"/>
        <v>5590477.0444826707</v>
      </c>
      <c r="T46" s="133"/>
    </row>
    <row r="47" spans="1:20" ht="17" thickTop="1" x14ac:dyDescent="0.2">
      <c r="A47" s="40"/>
      <c r="B47" s="40"/>
      <c r="C47" s="136" t="s">
        <v>213</v>
      </c>
      <c r="D47" s="40"/>
      <c r="E47" s="44">
        <f>E45-E46</f>
        <v>-38794286.75</v>
      </c>
      <c r="F47" s="44">
        <f t="shared" ref="F47:S47" si="23">F45-F46</f>
        <v>-38883759.653750002</v>
      </c>
      <c r="G47" s="44">
        <f t="shared" si="23"/>
        <v>-1884960.3743995202</v>
      </c>
      <c r="H47" s="44">
        <f t="shared" si="23"/>
        <v>-1657659.6992771125</v>
      </c>
      <c r="I47" s="44">
        <f t="shared" si="23"/>
        <v>-1509279.8737663992</v>
      </c>
      <c r="J47" s="44">
        <f t="shared" si="23"/>
        <v>-5071919.0848748712</v>
      </c>
      <c r="K47" s="44">
        <f t="shared" si="23"/>
        <v>-4751906.0431985827</v>
      </c>
      <c r="L47" s="44">
        <f t="shared" si="23"/>
        <v>-4422130.2442217991</v>
      </c>
      <c r="M47" s="44">
        <f t="shared" si="23"/>
        <v>-4082274.7083980134</v>
      </c>
      <c r="N47" s="44">
        <f t="shared" si="23"/>
        <v>-3732011.5266299834</v>
      </c>
      <c r="O47" s="44">
        <f t="shared" si="23"/>
        <v>-3371001.4617596706</v>
      </c>
      <c r="P47" s="44">
        <f t="shared" si="23"/>
        <v>-2998893.5347904889</v>
      </c>
      <c r="Q47" s="44">
        <f t="shared" si="23"/>
        <v>-2615324.5952321244</v>
      </c>
      <c r="R47" s="44">
        <f t="shared" si="23"/>
        <v>-2219918.8749329066</v>
      </c>
      <c r="S47" s="44">
        <f t="shared" si="23"/>
        <v>138440007.40265599</v>
      </c>
      <c r="T47" s="133"/>
    </row>
    <row r="48" spans="1:20" x14ac:dyDescent="0.2">
      <c r="A48" s="40"/>
      <c r="B48" s="40"/>
      <c r="C48" s="136" t="s">
        <v>214</v>
      </c>
      <c r="D48" s="40"/>
      <c r="E48" s="44">
        <f t="shared" ref="E48:N48" si="24">OrdTax*E41</f>
        <v>0</v>
      </c>
      <c r="F48" s="44">
        <f t="shared" si="24"/>
        <v>0</v>
      </c>
      <c r="G48" s="44">
        <f t="shared" si="24"/>
        <v>668448.73892999976</v>
      </c>
      <c r="H48" s="44">
        <f t="shared" si="24"/>
        <v>736700.27672640013</v>
      </c>
      <c r="I48" s="44">
        <f t="shared" si="24"/>
        <v>789301.76392527577</v>
      </c>
      <c r="J48" s="44">
        <f t="shared" si="24"/>
        <v>843345.73347181012</v>
      </c>
      <c r="K48" s="44">
        <f t="shared" si="24"/>
        <v>898872.74859106552</v>
      </c>
      <c r="L48" s="44">
        <f t="shared" si="24"/>
        <v>955924.53517995065</v>
      </c>
      <c r="M48" s="44">
        <f t="shared" si="24"/>
        <v>1014544.0156028753</v>
      </c>
      <c r="N48" s="44">
        <f t="shared" si="24"/>
        <v>1074775.3434795882</v>
      </c>
      <c r="O48" s="44">
        <f t="shared" ref="O48:S48" si="25">OrdTax*O41</f>
        <v>1136663.9394945246</v>
      </c>
      <c r="P48" s="44">
        <f t="shared" si="25"/>
        <v>1200256.5282578713</v>
      </c>
      <c r="Q48" s="44">
        <f t="shared" si="25"/>
        <v>1265601.176249438</v>
      </c>
      <c r="R48" s="44">
        <f t="shared" si="25"/>
        <v>1332747.3308773779</v>
      </c>
      <c r="S48" s="44">
        <f t="shared" si="25"/>
        <v>30854727.795437582</v>
      </c>
      <c r="T48" s="133"/>
    </row>
    <row r="49" spans="1:20" x14ac:dyDescent="0.2">
      <c r="A49" s="40"/>
      <c r="B49" s="40"/>
      <c r="C49" s="136" t="s">
        <v>215</v>
      </c>
      <c r="D49" s="40"/>
      <c r="E49" s="44">
        <f t="shared" ref="E49:N49" si="26">OrdTax*E22</f>
        <v>1030568</v>
      </c>
      <c r="F49" s="44">
        <f t="shared" si="26"/>
        <v>1030568</v>
      </c>
      <c r="G49" s="44">
        <f t="shared" si="26"/>
        <v>1030568</v>
      </c>
      <c r="H49" s="44">
        <f t="shared" si="26"/>
        <v>1030568</v>
      </c>
      <c r="I49" s="44">
        <f t="shared" si="26"/>
        <v>1030568</v>
      </c>
      <c r="J49" s="44">
        <f t="shared" si="26"/>
        <v>1030568</v>
      </c>
      <c r="K49" s="44">
        <f t="shared" si="26"/>
        <v>1030568</v>
      </c>
      <c r="L49" s="44">
        <f t="shared" si="26"/>
        <v>1030568</v>
      </c>
      <c r="M49" s="44">
        <f t="shared" si="26"/>
        <v>1030568</v>
      </c>
      <c r="N49" s="44">
        <f t="shared" si="26"/>
        <v>1030568</v>
      </c>
      <c r="O49" s="44">
        <f t="shared" ref="O49:S49" si="27">OrdTax*O22</f>
        <v>1030568</v>
      </c>
      <c r="P49" s="44">
        <f t="shared" si="27"/>
        <v>1030568</v>
      </c>
      <c r="Q49" s="44">
        <f t="shared" si="27"/>
        <v>1030568</v>
      </c>
      <c r="R49" s="44">
        <f t="shared" si="27"/>
        <v>1030568</v>
      </c>
      <c r="S49" s="44">
        <f t="shared" si="27"/>
        <v>1030568</v>
      </c>
      <c r="T49" s="133"/>
    </row>
    <row r="50" spans="1:20" ht="17" thickBot="1" x14ac:dyDescent="0.25">
      <c r="A50" s="40"/>
      <c r="B50" s="40"/>
      <c r="C50" s="136" t="s">
        <v>216</v>
      </c>
      <c r="D50" s="40"/>
      <c r="E50" s="45">
        <f t="shared" ref="E50:N50" si="28">OrdTax*E14</f>
        <v>417540.21749999997</v>
      </c>
      <c r="F50" s="45">
        <f t="shared" si="28"/>
        <v>436329.52728749992</v>
      </c>
      <c r="G50" s="45">
        <f t="shared" si="28"/>
        <v>455964.35601543752</v>
      </c>
      <c r="H50" s="45">
        <f t="shared" si="28"/>
        <v>476482.75203613215</v>
      </c>
      <c r="I50" s="45">
        <f t="shared" si="28"/>
        <v>497924.47587775806</v>
      </c>
      <c r="J50" s="45">
        <f t="shared" si="28"/>
        <v>520331.07729225722</v>
      </c>
      <c r="K50" s="45">
        <f t="shared" si="28"/>
        <v>508655.35365949216</v>
      </c>
      <c r="L50" s="45">
        <f t="shared" si="28"/>
        <v>496454.22246325266</v>
      </c>
      <c r="M50" s="45">
        <f t="shared" si="28"/>
        <v>483704.04036318243</v>
      </c>
      <c r="N50" s="45">
        <f t="shared" si="28"/>
        <v>470380.100068609</v>
      </c>
      <c r="O50" s="45">
        <f t="shared" ref="O50:S50" si="29">OrdTax*O14</f>
        <v>456456.58246077981</v>
      </c>
      <c r="P50" s="45">
        <f t="shared" si="29"/>
        <v>441906.50656059827</v>
      </c>
      <c r="Q50" s="45">
        <f t="shared" si="29"/>
        <v>426701.67724490853</v>
      </c>
      <c r="R50" s="45">
        <f t="shared" si="29"/>
        <v>410812.63061001268</v>
      </c>
      <c r="S50" s="45">
        <f t="shared" si="29"/>
        <v>394208.57687654661</v>
      </c>
      <c r="T50" s="133"/>
    </row>
    <row r="51" spans="1:20" ht="17" thickTop="1" x14ac:dyDescent="0.2">
      <c r="A51" s="40"/>
      <c r="B51" s="49"/>
      <c r="C51" s="137" t="s">
        <v>217</v>
      </c>
      <c r="D51" s="52">
        <f>-D43</f>
        <v>-36806000</v>
      </c>
      <c r="E51" s="52">
        <f>E47-E48+E49+E50</f>
        <v>-37346178.532499999</v>
      </c>
      <c r="F51" s="52">
        <f t="shared" ref="F51:S51" si="30">F47-F48+F49+F50</f>
        <v>-37416862.126462504</v>
      </c>
      <c r="G51" s="52">
        <f t="shared" si="30"/>
        <v>-1066876.7573140825</v>
      </c>
      <c r="H51" s="52">
        <f t="shared" si="30"/>
        <v>-887309.22396738059</v>
      </c>
      <c r="I51" s="52">
        <f t="shared" si="30"/>
        <v>-770089.16181391664</v>
      </c>
      <c r="J51" s="52">
        <f t="shared" si="30"/>
        <v>-4364365.7410544241</v>
      </c>
      <c r="K51" s="52">
        <f t="shared" si="30"/>
        <v>-4111555.4381301561</v>
      </c>
      <c r="L51" s="52">
        <f t="shared" si="30"/>
        <v>-3851032.5569384969</v>
      </c>
      <c r="M51" s="52">
        <f t="shared" si="30"/>
        <v>-3582546.6836377066</v>
      </c>
      <c r="N51" s="52">
        <f t="shared" si="30"/>
        <v>-3305838.7700409619</v>
      </c>
      <c r="O51" s="52">
        <f t="shared" si="30"/>
        <v>-3020640.818793416</v>
      </c>
      <c r="P51" s="52">
        <f t="shared" si="30"/>
        <v>-2726675.5564877614</v>
      </c>
      <c r="Q51" s="52">
        <f t="shared" si="30"/>
        <v>-2423656.0942366538</v>
      </c>
      <c r="R51" s="52">
        <f t="shared" si="30"/>
        <v>-2111285.5752002718</v>
      </c>
      <c r="S51" s="52">
        <f t="shared" si="30"/>
        <v>109010056.18409497</v>
      </c>
      <c r="T51" s="133"/>
    </row>
    <row r="52" spans="1:20" x14ac:dyDescent="0.2">
      <c r="A52" s="40"/>
      <c r="B52" s="40"/>
      <c r="C52" s="136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T52" s="133"/>
    </row>
    <row r="53" spans="1:20" x14ac:dyDescent="0.2">
      <c r="A53" s="40"/>
      <c r="B53" s="40"/>
      <c r="C53" s="135" t="s">
        <v>218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T53" s="133"/>
    </row>
    <row r="54" spans="1:20" x14ac:dyDescent="0.2">
      <c r="A54" s="40"/>
      <c r="B54" s="40"/>
      <c r="C54" s="136" t="s">
        <v>219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O54" s="40"/>
      <c r="P54" s="40"/>
      <c r="S54" s="44">
        <f>T21/H6</f>
        <v>140252294.9273946</v>
      </c>
      <c r="T54" s="133"/>
    </row>
    <row r="55" spans="1:20" ht="17" thickBot="1" x14ac:dyDescent="0.25">
      <c r="A55" s="40"/>
      <c r="B55" s="40"/>
      <c r="C55" s="136" t="s">
        <v>220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O55" s="40"/>
      <c r="P55" s="40"/>
      <c r="S55" s="47">
        <f>S17</f>
        <v>39879083.674611069</v>
      </c>
      <c r="T55" s="133"/>
    </row>
    <row r="56" spans="1:20" ht="17" thickTop="1" x14ac:dyDescent="0.2">
      <c r="A56" s="40"/>
      <c r="B56" s="40"/>
      <c r="C56" s="136" t="str">
        <f t="shared" ref="C56" si="31">C47</f>
        <v>EBTCF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O56" s="40"/>
      <c r="P56" s="40"/>
      <c r="S56" s="46">
        <f>S54-S55</f>
        <v>100373211.25278354</v>
      </c>
      <c r="T56" s="133"/>
    </row>
    <row r="57" spans="1:20" x14ac:dyDescent="0.2">
      <c r="A57" s="40"/>
      <c r="B57" s="40"/>
      <c r="C57" s="136" t="s">
        <v>221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O57" s="40"/>
      <c r="P57" s="40"/>
      <c r="S57" s="46">
        <f>(S54-purchaseprice-SUM(E32:S32)+SUM(E33:S33))*captax</f>
        <v>18383574.739109188</v>
      </c>
      <c r="T57" s="133"/>
    </row>
    <row r="58" spans="1:20" ht="17" thickBot="1" x14ac:dyDescent="0.25">
      <c r="A58" s="40"/>
      <c r="B58" s="40"/>
      <c r="C58" s="136" t="s">
        <v>192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O58" s="40"/>
      <c r="P58" s="40"/>
      <c r="S58" s="47">
        <f>SUM(E33:S33)*D7</f>
        <v>18403000</v>
      </c>
      <c r="T58" s="133"/>
    </row>
    <row r="59" spans="1:20" ht="17" thickTop="1" x14ac:dyDescent="0.2">
      <c r="A59" s="40"/>
      <c r="B59" s="49"/>
      <c r="C59" s="139" t="str">
        <f>C51</f>
        <v>EATCF</v>
      </c>
      <c r="D59" s="140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>
        <f>S56-S57-S58</f>
        <v>63586636.513674349</v>
      </c>
      <c r="T59" s="144"/>
    </row>
    <row r="60" spans="1:20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6"/>
      <c r="O60" s="40"/>
      <c r="P60" s="40"/>
    </row>
    <row r="61" spans="1:20" x14ac:dyDescent="0.2">
      <c r="A61" s="40"/>
      <c r="B61" s="48"/>
      <c r="C61" s="60" t="s">
        <v>222</v>
      </c>
      <c r="D61" s="61">
        <f>((1-K3)*purchaseprice*-1)-D51</f>
        <v>7349900</v>
      </c>
      <c r="E61" s="61">
        <f>E59+E51</f>
        <v>-37346178.532499999</v>
      </c>
      <c r="F61" s="61">
        <f t="shared" ref="F61:S61" si="32">F59+F51</f>
        <v>-37416862.126462504</v>
      </c>
      <c r="G61" s="61">
        <f t="shared" si="32"/>
        <v>-1066876.7573140825</v>
      </c>
      <c r="H61" s="61">
        <f t="shared" si="32"/>
        <v>-887309.22396738059</v>
      </c>
      <c r="I61" s="61">
        <f t="shared" si="32"/>
        <v>-770089.16181391664</v>
      </c>
      <c r="J61" s="61">
        <f t="shared" si="32"/>
        <v>-4364365.7410544241</v>
      </c>
      <c r="K61" s="61">
        <f t="shared" si="32"/>
        <v>-4111555.4381301561</v>
      </c>
      <c r="L61" s="61">
        <f t="shared" si="32"/>
        <v>-3851032.5569384969</v>
      </c>
      <c r="M61" s="61">
        <f t="shared" si="32"/>
        <v>-3582546.6836377066</v>
      </c>
      <c r="N61" s="61">
        <f t="shared" si="32"/>
        <v>-3305838.7700409619</v>
      </c>
      <c r="O61" s="61">
        <f t="shared" si="32"/>
        <v>-3020640.818793416</v>
      </c>
      <c r="P61" s="61">
        <f t="shared" si="32"/>
        <v>-2726675.5564877614</v>
      </c>
      <c r="Q61" s="61">
        <f t="shared" si="32"/>
        <v>-2423656.0942366538</v>
      </c>
      <c r="R61" s="61">
        <f t="shared" si="32"/>
        <v>-2111285.5752002718</v>
      </c>
      <c r="S61" s="61">
        <f t="shared" si="32"/>
        <v>172596692.69776931</v>
      </c>
    </row>
    <row r="62" spans="1:20" x14ac:dyDescent="0.2">
      <c r="A62" s="40"/>
      <c r="B62" s="49"/>
      <c r="C62" s="60" t="s">
        <v>223</v>
      </c>
      <c r="D62" s="61">
        <f>D61</f>
        <v>7349900</v>
      </c>
      <c r="E62" s="61">
        <f>E47+E56</f>
        <v>-38794286.75</v>
      </c>
      <c r="F62" s="61">
        <f t="shared" ref="F62:S62" si="33">F47+F56</f>
        <v>-38883759.653750002</v>
      </c>
      <c r="G62" s="61">
        <f t="shared" si="33"/>
        <v>-1884960.3743995202</v>
      </c>
      <c r="H62" s="61">
        <f t="shared" si="33"/>
        <v>-1657659.6992771125</v>
      </c>
      <c r="I62" s="61">
        <f t="shared" si="33"/>
        <v>-1509279.8737663992</v>
      </c>
      <c r="J62" s="61">
        <f t="shared" si="33"/>
        <v>-5071919.0848748712</v>
      </c>
      <c r="K62" s="61">
        <f t="shared" si="33"/>
        <v>-4751906.0431985827</v>
      </c>
      <c r="L62" s="61">
        <f t="shared" si="33"/>
        <v>-4422130.2442217991</v>
      </c>
      <c r="M62" s="61">
        <f t="shared" si="33"/>
        <v>-4082274.7083980134</v>
      </c>
      <c r="N62" s="61">
        <f t="shared" si="33"/>
        <v>-3732011.5266299834</v>
      </c>
      <c r="O62" s="61">
        <f t="shared" si="33"/>
        <v>-3371001.4617596706</v>
      </c>
      <c r="P62" s="61">
        <f t="shared" si="33"/>
        <v>-2998893.5347904889</v>
      </c>
      <c r="Q62" s="61">
        <f t="shared" si="33"/>
        <v>-2615324.5952321244</v>
      </c>
      <c r="R62" s="61">
        <f t="shared" si="33"/>
        <v>-2219918.8749329066</v>
      </c>
      <c r="S62" s="61">
        <f t="shared" si="33"/>
        <v>238813218.65543953</v>
      </c>
    </row>
    <row r="63" spans="1:20" x14ac:dyDescent="0.2">
      <c r="A63" s="40"/>
      <c r="B63" s="49"/>
      <c r="C63" s="60" t="s">
        <v>224</v>
      </c>
      <c r="D63" s="61">
        <f>D51</f>
        <v>-36806000</v>
      </c>
      <c r="E63" s="61">
        <f>E45</f>
        <v>-36806000</v>
      </c>
      <c r="F63" s="61">
        <f t="shared" ref="F63:S63" si="34">F45</f>
        <v>-36806000</v>
      </c>
      <c r="G63" s="61">
        <f t="shared" si="34"/>
        <v>286298.46376922983</v>
      </c>
      <c r="H63" s="61">
        <f t="shared" si="34"/>
        <v>611305.78660923126</v>
      </c>
      <c r="I63" s="61">
        <f t="shared" si="34"/>
        <v>861789.05898482981</v>
      </c>
      <c r="J63" s="61">
        <f t="shared" si="34"/>
        <v>1119141.2949207078</v>
      </c>
      <c r="K63" s="61">
        <f t="shared" si="34"/>
        <v>1383555.6526314474</v>
      </c>
      <c r="L63" s="61">
        <f t="shared" si="34"/>
        <v>1655230.8268642339</v>
      </c>
      <c r="M63" s="61">
        <f t="shared" si="34"/>
        <v>1934371.2098305419</v>
      </c>
      <c r="N63" s="61">
        <f t="shared" si="34"/>
        <v>2221187.0568625079</v>
      </c>
      <c r="O63" s="61">
        <f t="shared" si="34"/>
        <v>2515894.6569336345</v>
      </c>
      <c r="P63" s="61">
        <f t="shared" si="34"/>
        <v>2818716.5081876656</v>
      </c>
      <c r="Q63" s="61">
        <f t="shared" si="34"/>
        <v>3129881.498623698</v>
      </c>
      <c r="R63" s="61">
        <f t="shared" si="34"/>
        <v>3449625.0920900786</v>
      </c>
      <c r="S63" s="61">
        <f t="shared" si="34"/>
        <v>144030484.44713867</v>
      </c>
    </row>
    <row r="64" spans="1:20" x14ac:dyDescent="0.2">
      <c r="A64" s="40"/>
      <c r="B64" s="49"/>
      <c r="C64" s="60" t="s">
        <v>225</v>
      </c>
      <c r="D64" s="61">
        <f>D63</f>
        <v>-36806000</v>
      </c>
      <c r="E64" s="61">
        <f>E63-E48+E49</f>
        <v>-35775432</v>
      </c>
      <c r="F64" s="61">
        <f t="shared" ref="F64:S64" si="35">F63-F48+F49</f>
        <v>-35775432</v>
      </c>
      <c r="G64" s="61">
        <f t="shared" si="35"/>
        <v>648417.72483923007</v>
      </c>
      <c r="H64" s="61">
        <f t="shared" si="35"/>
        <v>905173.50988283113</v>
      </c>
      <c r="I64" s="61">
        <f t="shared" si="35"/>
        <v>1103055.295059554</v>
      </c>
      <c r="J64" s="61">
        <f t="shared" si="35"/>
        <v>1306363.5614488977</v>
      </c>
      <c r="K64" s="61">
        <f t="shared" si="35"/>
        <v>1515250.9040403818</v>
      </c>
      <c r="L64" s="61">
        <f t="shared" si="35"/>
        <v>1729874.2916842834</v>
      </c>
      <c r="M64" s="61">
        <f t="shared" si="35"/>
        <v>1950395.1942276666</v>
      </c>
      <c r="N64" s="61">
        <f t="shared" si="35"/>
        <v>2176979.7133829198</v>
      </c>
      <c r="O64" s="61">
        <f t="shared" si="35"/>
        <v>2409798.7174391099</v>
      </c>
      <c r="P64" s="61">
        <f t="shared" si="35"/>
        <v>2649027.9799297946</v>
      </c>
      <c r="Q64" s="61">
        <f t="shared" si="35"/>
        <v>2894848.3223742601</v>
      </c>
      <c r="R64" s="61">
        <f t="shared" si="35"/>
        <v>3147445.761212701</v>
      </c>
      <c r="S64" s="61">
        <f t="shared" si="35"/>
        <v>114206324.65170109</v>
      </c>
    </row>
    <row r="65" spans="1:16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  <row r="66" spans="1:16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</row>
    <row r="67" spans="1:16" ht="17" thickBo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</row>
    <row r="68" spans="1:16" x14ac:dyDescent="0.2">
      <c r="A68" s="40"/>
      <c r="B68" s="40"/>
      <c r="C68" s="40"/>
      <c r="D68" s="40"/>
      <c r="E68" s="40"/>
      <c r="F68" s="62"/>
      <c r="G68" s="63" t="s">
        <v>226</v>
      </c>
      <c r="H68" s="64" t="s">
        <v>227</v>
      </c>
      <c r="I68" s="40"/>
      <c r="J68" s="40"/>
      <c r="K68" s="40"/>
      <c r="L68" s="40"/>
      <c r="M68" s="40"/>
      <c r="N68" s="40"/>
      <c r="O68" s="40"/>
      <c r="P68" s="40"/>
    </row>
    <row r="69" spans="1:16" x14ac:dyDescent="0.2">
      <c r="A69" s="40"/>
      <c r="B69" s="40"/>
      <c r="C69" s="40"/>
      <c r="D69" s="40"/>
      <c r="E69" s="40"/>
      <c r="F69" s="65" t="s">
        <v>228</v>
      </c>
      <c r="G69" s="66">
        <f>IRR(D61:S61)</f>
        <v>4.9837245261596719E-2</v>
      </c>
      <c r="H69" s="67">
        <f>IRR(D64:S64,0.04)</f>
        <v>1.7815803952055287E-2</v>
      </c>
      <c r="I69" s="40"/>
      <c r="J69" s="40"/>
      <c r="K69" s="40"/>
      <c r="L69" s="40"/>
      <c r="M69" s="40"/>
      <c r="N69" s="40"/>
      <c r="O69" s="40"/>
      <c r="P69" s="40"/>
    </row>
    <row r="70" spans="1:16" ht="17" thickBot="1" x14ac:dyDescent="0.25">
      <c r="A70" s="40"/>
      <c r="B70" s="40"/>
      <c r="C70" s="40"/>
      <c r="D70" s="40"/>
      <c r="E70" s="40"/>
      <c r="F70" s="68" t="s">
        <v>229</v>
      </c>
      <c r="G70" s="69">
        <f>IRR(D62:S62)</f>
        <v>7.2029303409548717E-2</v>
      </c>
      <c r="H70" s="70">
        <f>IRR(D63:S63)</f>
        <v>3.1059047738685619E-2</v>
      </c>
      <c r="I70" s="40"/>
      <c r="J70" s="40"/>
      <c r="K70" s="40"/>
      <c r="L70" s="40"/>
      <c r="M70" s="40"/>
      <c r="N70" s="40"/>
      <c r="O70" s="40"/>
      <c r="P70" s="40"/>
    </row>
    <row r="71" spans="1:16" ht="17" thickBot="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</row>
    <row r="72" spans="1:16" ht="17" thickBot="1" x14ac:dyDescent="0.25">
      <c r="A72" s="40"/>
      <c r="B72" s="40"/>
      <c r="C72" s="40"/>
      <c r="D72" s="40"/>
      <c r="E72" s="40"/>
      <c r="F72" s="71" t="s">
        <v>230</v>
      </c>
      <c r="G72" s="72">
        <f>1-G69/G70</f>
        <v>0.30809763662118184</v>
      </c>
      <c r="H72" s="73">
        <f>1-H69/H70</f>
        <v>0.42638924084382668</v>
      </c>
      <c r="I72" s="40"/>
      <c r="J72" s="40"/>
      <c r="K72" s="40"/>
      <c r="L72" s="40"/>
      <c r="M72" s="40"/>
      <c r="N72" s="40"/>
      <c r="O72" s="40"/>
      <c r="P72" s="40"/>
    </row>
    <row r="73" spans="1:16" x14ac:dyDescent="0.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</row>
    <row r="74" spans="1:16" x14ac:dyDescent="0.2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</row>
    <row r="75" spans="1:16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</row>
    <row r="76" spans="1:16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</row>
    <row r="77" spans="1:16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</row>
    <row r="78" spans="1:16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</row>
    <row r="79" spans="1:16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</row>
    <row r="80" spans="1:16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</row>
    <row r="81" spans="1:16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</row>
    <row r="82" spans="1:16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</row>
  </sheetData>
  <mergeCells count="3">
    <mergeCell ref="C2:D2"/>
    <mergeCell ref="G2:H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1F09-141C-424A-A934-7F41AD4787CC}">
  <dimension ref="A1:D31"/>
  <sheetViews>
    <sheetView showGridLines="0" workbookViewId="0"/>
  </sheetViews>
  <sheetFormatPr baseColWidth="10" defaultColWidth="8.7109375" defaultRowHeight="16" x14ac:dyDescent="0.2"/>
  <cols>
    <col min="2" max="2" width="14.140625" bestFit="1" customWidth="1"/>
    <col min="3" max="3" width="13.140625" bestFit="1" customWidth="1"/>
    <col min="4" max="4" width="14.140625" bestFit="1" customWidth="1"/>
  </cols>
  <sheetData>
    <row r="1" spans="1:4" ht="17" thickBot="1" x14ac:dyDescent="0.25">
      <c r="A1" s="14"/>
      <c r="B1" s="14"/>
      <c r="C1" s="14"/>
      <c r="D1" s="14"/>
    </row>
    <row r="2" spans="1:4" x14ac:dyDescent="0.2">
      <c r="A2" s="148" t="s">
        <v>231</v>
      </c>
      <c r="B2" s="149"/>
      <c r="C2" s="149"/>
      <c r="D2" s="150"/>
    </row>
    <row r="3" spans="1:4" x14ac:dyDescent="0.2">
      <c r="A3" s="151"/>
      <c r="B3" s="91"/>
      <c r="C3" s="91"/>
      <c r="D3" s="152"/>
    </row>
    <row r="4" spans="1:4" x14ac:dyDescent="0.2">
      <c r="A4" s="153"/>
      <c r="B4" s="83" t="s">
        <v>232</v>
      </c>
      <c r="C4" s="83" t="s">
        <v>233</v>
      </c>
      <c r="D4" s="154" t="s">
        <v>234</v>
      </c>
    </row>
    <row r="5" spans="1:4" x14ac:dyDescent="0.2">
      <c r="A5" s="153"/>
      <c r="B5" s="84">
        <f>depcostbasis</f>
        <v>88334400</v>
      </c>
      <c r="C5" s="84">
        <f>D31</f>
        <v>3107990.3978437213</v>
      </c>
      <c r="D5" s="155">
        <v>0.2</v>
      </c>
    </row>
    <row r="6" spans="1:4" ht="17" thickBot="1" x14ac:dyDescent="0.25">
      <c r="A6" s="153"/>
      <c r="B6" s="91"/>
      <c r="C6" s="91"/>
      <c r="D6" s="152"/>
    </row>
    <row r="7" spans="1:4" ht="17" thickBot="1" x14ac:dyDescent="0.25">
      <c r="A7" s="148" t="s">
        <v>235</v>
      </c>
      <c r="B7" s="150"/>
      <c r="C7" s="91"/>
      <c r="D7" s="152"/>
    </row>
    <row r="8" spans="1:4" ht="17" thickBot="1" x14ac:dyDescent="0.25">
      <c r="A8" s="162" t="s">
        <v>236</v>
      </c>
      <c r="B8" s="163">
        <v>18</v>
      </c>
      <c r="C8" s="91"/>
      <c r="D8" s="152"/>
    </row>
    <row r="9" spans="1:4" x14ac:dyDescent="0.2">
      <c r="A9" s="153"/>
      <c r="B9" s="91"/>
      <c r="C9" s="91"/>
      <c r="D9" s="152"/>
    </row>
    <row r="10" spans="1:4" x14ac:dyDescent="0.2">
      <c r="A10" s="153"/>
      <c r="B10" s="91"/>
      <c r="C10" s="91"/>
      <c r="D10" s="152"/>
    </row>
    <row r="11" spans="1:4" x14ac:dyDescent="0.2">
      <c r="A11" s="151" t="s">
        <v>237</v>
      </c>
      <c r="B11" s="91"/>
      <c r="C11" s="91"/>
      <c r="D11" s="152"/>
    </row>
    <row r="12" spans="1:4" x14ac:dyDescent="0.2">
      <c r="A12" s="151"/>
      <c r="B12" s="91"/>
      <c r="C12" s="91"/>
      <c r="D12" s="152"/>
    </row>
    <row r="13" spans="1:4" x14ac:dyDescent="0.2">
      <c r="A13" s="156" t="s">
        <v>193</v>
      </c>
      <c r="B13" s="83" t="s">
        <v>238</v>
      </c>
      <c r="C13" s="83" t="s">
        <v>239</v>
      </c>
      <c r="D13" s="154" t="s">
        <v>240</v>
      </c>
    </row>
    <row r="14" spans="1:4" x14ac:dyDescent="0.2">
      <c r="A14" s="153">
        <v>1</v>
      </c>
      <c r="B14" s="157">
        <f>B5</f>
        <v>88334400</v>
      </c>
      <c r="C14" s="157">
        <v>0</v>
      </c>
      <c r="D14" s="158">
        <f>B14</f>
        <v>88334400</v>
      </c>
    </row>
    <row r="15" spans="1:4" x14ac:dyDescent="0.2">
      <c r="A15" s="153">
        <v>2</v>
      </c>
      <c r="B15" s="157">
        <f>B14</f>
        <v>88334400</v>
      </c>
      <c r="C15" s="157">
        <v>0</v>
      </c>
      <c r="D15" s="158">
        <f t="shared" ref="D15:D16" si="0">B15</f>
        <v>88334400</v>
      </c>
    </row>
    <row r="16" spans="1:4" x14ac:dyDescent="0.2">
      <c r="A16" s="153">
        <v>3</v>
      </c>
      <c r="B16" s="157">
        <f>B15</f>
        <v>88334400</v>
      </c>
      <c r="C16" s="157">
        <v>0</v>
      </c>
      <c r="D16" s="158">
        <f t="shared" si="0"/>
        <v>88334400</v>
      </c>
    </row>
    <row r="17" spans="1:4" x14ac:dyDescent="0.2">
      <c r="A17" s="153">
        <v>4</v>
      </c>
      <c r="B17" s="157">
        <f>D16</f>
        <v>88334400</v>
      </c>
      <c r="C17" s="157">
        <f>$D$5*B17</f>
        <v>17666880</v>
      </c>
      <c r="D17" s="158">
        <f>B17-C17</f>
        <v>70667520</v>
      </c>
    </row>
    <row r="18" spans="1:4" x14ac:dyDescent="0.2">
      <c r="A18" s="153">
        <v>5</v>
      </c>
      <c r="B18" s="157">
        <f t="shared" ref="B18:B26" si="1">D17</f>
        <v>70667520</v>
      </c>
      <c r="C18" s="157">
        <f t="shared" ref="C18:C31" si="2">$D$5*B18</f>
        <v>14133504</v>
      </c>
      <c r="D18" s="158">
        <f t="shared" ref="D18:D24" si="3">B18-C18</f>
        <v>56534016</v>
      </c>
    </row>
    <row r="19" spans="1:4" x14ac:dyDescent="0.2">
      <c r="A19" s="153">
        <v>6</v>
      </c>
      <c r="B19" s="157">
        <f t="shared" si="1"/>
        <v>56534016</v>
      </c>
      <c r="C19" s="157">
        <f t="shared" si="2"/>
        <v>11306803.200000001</v>
      </c>
      <c r="D19" s="158">
        <f t="shared" si="3"/>
        <v>45227212.799999997</v>
      </c>
    </row>
    <row r="20" spans="1:4" x14ac:dyDescent="0.2">
      <c r="A20" s="153">
        <v>7</v>
      </c>
      <c r="B20" s="157">
        <f t="shared" si="1"/>
        <v>45227212.799999997</v>
      </c>
      <c r="C20" s="157">
        <f t="shared" si="2"/>
        <v>9045442.5600000005</v>
      </c>
      <c r="D20" s="158">
        <f t="shared" si="3"/>
        <v>36181770.239999995</v>
      </c>
    </row>
    <row r="21" spans="1:4" x14ac:dyDescent="0.2">
      <c r="A21" s="153">
        <v>8</v>
      </c>
      <c r="B21" s="157">
        <f t="shared" si="1"/>
        <v>36181770.239999995</v>
      </c>
      <c r="C21" s="157">
        <f t="shared" si="2"/>
        <v>7236354.0479999995</v>
      </c>
      <c r="D21" s="158">
        <f t="shared" si="3"/>
        <v>28945416.191999994</v>
      </c>
    </row>
    <row r="22" spans="1:4" x14ac:dyDescent="0.2">
      <c r="A22" s="153">
        <v>9</v>
      </c>
      <c r="B22" s="157">
        <f t="shared" si="1"/>
        <v>28945416.191999994</v>
      </c>
      <c r="C22" s="157">
        <f t="shared" si="2"/>
        <v>5789083.2383999992</v>
      </c>
      <c r="D22" s="158">
        <f t="shared" si="3"/>
        <v>23156332.953599997</v>
      </c>
    </row>
    <row r="23" spans="1:4" x14ac:dyDescent="0.2">
      <c r="A23" s="153">
        <v>10</v>
      </c>
      <c r="B23" s="157">
        <f t="shared" si="1"/>
        <v>23156332.953599997</v>
      </c>
      <c r="C23" s="157">
        <f t="shared" si="2"/>
        <v>4631266.5907199997</v>
      </c>
      <c r="D23" s="158">
        <f t="shared" si="3"/>
        <v>18525066.362879999</v>
      </c>
    </row>
    <row r="24" spans="1:4" x14ac:dyDescent="0.2">
      <c r="A24" s="153">
        <v>11</v>
      </c>
      <c r="B24" s="157">
        <f t="shared" si="1"/>
        <v>18525066.362879999</v>
      </c>
      <c r="C24" s="157">
        <f t="shared" si="2"/>
        <v>3705013.2725760001</v>
      </c>
      <c r="D24" s="158">
        <f t="shared" si="3"/>
        <v>14820053.090303998</v>
      </c>
    </row>
    <row r="25" spans="1:4" x14ac:dyDescent="0.2">
      <c r="A25" s="153">
        <v>12</v>
      </c>
      <c r="B25" s="157">
        <f t="shared" si="1"/>
        <v>14820053.090303998</v>
      </c>
      <c r="C25" s="157">
        <f t="shared" si="2"/>
        <v>2964010.6180607998</v>
      </c>
      <c r="D25" s="158">
        <f t="shared" ref="D25:D26" si="4">B25-C25</f>
        <v>11856042.472243199</v>
      </c>
    </row>
    <row r="26" spans="1:4" x14ac:dyDescent="0.2">
      <c r="A26" s="153">
        <v>13</v>
      </c>
      <c r="B26" s="157">
        <f t="shared" si="1"/>
        <v>11856042.472243199</v>
      </c>
      <c r="C26" s="157">
        <f t="shared" si="2"/>
        <v>2371208.4944486399</v>
      </c>
      <c r="D26" s="158">
        <f t="shared" si="4"/>
        <v>9484833.9777945597</v>
      </c>
    </row>
    <row r="27" spans="1:4" x14ac:dyDescent="0.2">
      <c r="A27" s="153">
        <v>14</v>
      </c>
      <c r="B27" s="157">
        <f t="shared" ref="B27:B31" si="5">D26</f>
        <v>9484833.9777945597</v>
      </c>
      <c r="C27" s="157">
        <f t="shared" si="2"/>
        <v>1896966.795558912</v>
      </c>
      <c r="D27" s="158">
        <f t="shared" ref="D27:D31" si="6">B27-C27</f>
        <v>7587867.1822356479</v>
      </c>
    </row>
    <row r="28" spans="1:4" x14ac:dyDescent="0.2">
      <c r="A28" s="153">
        <v>15</v>
      </c>
      <c r="B28" s="157">
        <f t="shared" si="5"/>
        <v>7587867.1822356479</v>
      </c>
      <c r="C28" s="157">
        <f t="shared" si="2"/>
        <v>1517573.4364471296</v>
      </c>
      <c r="D28" s="158">
        <f t="shared" si="6"/>
        <v>6070293.7457885183</v>
      </c>
    </row>
    <row r="29" spans="1:4" x14ac:dyDescent="0.2">
      <c r="A29" s="153">
        <v>16</v>
      </c>
      <c r="B29" s="157">
        <f t="shared" si="5"/>
        <v>6070293.7457885183</v>
      </c>
      <c r="C29" s="157">
        <f t="shared" si="2"/>
        <v>1214058.7491577037</v>
      </c>
      <c r="D29" s="158">
        <f t="shared" si="6"/>
        <v>4856234.9966308149</v>
      </c>
    </row>
    <row r="30" spans="1:4" x14ac:dyDescent="0.2">
      <c r="A30" s="153">
        <v>17</v>
      </c>
      <c r="B30" s="157">
        <f t="shared" si="5"/>
        <v>4856234.9966308149</v>
      </c>
      <c r="C30" s="157">
        <f t="shared" si="2"/>
        <v>971246.99932616297</v>
      </c>
      <c r="D30" s="158">
        <f t="shared" si="6"/>
        <v>3884987.9973046519</v>
      </c>
    </row>
    <row r="31" spans="1:4" ht="17" thickBot="1" x14ac:dyDescent="0.25">
      <c r="A31" s="159">
        <v>18</v>
      </c>
      <c r="B31" s="160">
        <f t="shared" si="5"/>
        <v>3884987.9973046519</v>
      </c>
      <c r="C31" s="160">
        <f t="shared" si="2"/>
        <v>776997.59946093045</v>
      </c>
      <c r="D31" s="161">
        <f t="shared" si="6"/>
        <v>3107990.3978437213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3"/>
  <sheetViews>
    <sheetView showGridLines="0" topLeftCell="B1" zoomScale="72" zoomScaleNormal="72" workbookViewId="0">
      <selection activeCell="B2" sqref="B2"/>
    </sheetView>
  </sheetViews>
  <sheetFormatPr baseColWidth="10" defaultColWidth="11.28515625" defaultRowHeight="15" customHeight="1" x14ac:dyDescent="0.2"/>
  <cols>
    <col min="1" max="1" width="13.28515625" hidden="1" customWidth="1"/>
    <col min="2" max="2" width="26.42578125" customWidth="1"/>
    <col min="3" max="3" width="19.7109375" bestFit="1" customWidth="1"/>
    <col min="4" max="4" width="20.7109375" customWidth="1"/>
    <col min="5" max="5" width="15.5703125" bestFit="1" customWidth="1"/>
    <col min="6" max="6" width="15.7109375" bestFit="1" customWidth="1"/>
    <col min="7" max="30" width="10.5703125" customWidth="1"/>
  </cols>
  <sheetData>
    <row r="1" spans="1:7" ht="15.75" customHeight="1" x14ac:dyDescent="0.2">
      <c r="A1" s="36"/>
      <c r="B1" s="36"/>
      <c r="C1" s="36"/>
      <c r="D1" s="36"/>
      <c r="E1" s="36"/>
      <c r="F1" s="36"/>
    </row>
    <row r="2" spans="1:7" ht="15.75" customHeight="1" x14ac:dyDescent="0.2">
      <c r="A2" s="36"/>
      <c r="B2" s="9" t="s">
        <v>114</v>
      </c>
      <c r="C2" s="9">
        <v>2</v>
      </c>
      <c r="D2" s="9" t="s">
        <v>252</v>
      </c>
      <c r="E2" s="9">
        <v>4</v>
      </c>
      <c r="F2" s="9">
        <v>5</v>
      </c>
      <c r="G2" s="9">
        <v>6</v>
      </c>
    </row>
    <row r="3" spans="1:7" ht="15.75" customHeight="1" x14ac:dyDescent="0.2">
      <c r="A3" s="37"/>
      <c r="B3" s="26" t="s">
        <v>245</v>
      </c>
      <c r="C3" s="23">
        <v>3.5799999999999998E-2</v>
      </c>
      <c r="D3" s="23">
        <v>3.1099999999999999E-2</v>
      </c>
      <c r="E3" s="85">
        <v>2.5999999999999999E-2</v>
      </c>
      <c r="F3" s="86">
        <v>2.0500000000000001E-2</v>
      </c>
      <c r="G3" s="86">
        <v>1.4500000000000001E-2</v>
      </c>
    </row>
    <row r="4" spans="1:7" ht="15.75" customHeight="1" x14ac:dyDescent="0.2">
      <c r="A4" s="37"/>
      <c r="B4" s="26" t="s">
        <v>244</v>
      </c>
      <c r="C4" s="23">
        <v>0.129</v>
      </c>
      <c r="D4" s="23">
        <v>7.3599999999999999E-2</v>
      </c>
      <c r="E4" s="85">
        <v>5.2299999999999999E-2</v>
      </c>
      <c r="F4" s="86">
        <v>3.8399999999999997E-2</v>
      </c>
      <c r="G4" s="86">
        <v>2.7E-2</v>
      </c>
    </row>
    <row r="5" spans="1:7" ht="15.75" customHeight="1" x14ac:dyDescent="0.2">
      <c r="A5" s="37"/>
      <c r="B5" s="87" t="s">
        <v>246</v>
      </c>
      <c r="C5" s="85">
        <v>2.23E-2</v>
      </c>
      <c r="D5" s="85">
        <v>1.78E-2</v>
      </c>
      <c r="E5" s="85">
        <v>1.29E-2</v>
      </c>
      <c r="F5" s="88">
        <v>7.6E-3</v>
      </c>
      <c r="G5" s="86">
        <v>1.8E-3</v>
      </c>
    </row>
    <row r="6" spans="1:7" ht="15.75" customHeight="1" x14ac:dyDescent="0.2">
      <c r="A6" s="37"/>
      <c r="B6" s="83" t="s">
        <v>247</v>
      </c>
      <c r="C6" s="86">
        <v>0.10970000000000001</v>
      </c>
      <c r="D6" s="86">
        <v>5.2999999999999999E-2</v>
      </c>
      <c r="E6" s="86">
        <v>3.1E-2</v>
      </c>
      <c r="F6" s="86">
        <v>1.6199999999999999E-2</v>
      </c>
      <c r="G6" s="86">
        <v>3.8E-3</v>
      </c>
    </row>
    <row r="7" spans="1:7" ht="15.75" customHeight="1" x14ac:dyDescent="0.2">
      <c r="A7" s="37"/>
      <c r="B7" s="89"/>
      <c r="C7" s="90"/>
      <c r="D7" s="90"/>
      <c r="E7" s="90"/>
      <c r="F7" s="90"/>
      <c r="G7" s="14"/>
    </row>
    <row r="8" spans="1:7" ht="15.75" customHeight="1" x14ac:dyDescent="0.2">
      <c r="A8" s="37"/>
      <c r="B8" s="91"/>
      <c r="C8" s="91"/>
      <c r="D8" s="91"/>
      <c r="E8" s="91"/>
      <c r="F8" s="91"/>
      <c r="G8" s="14"/>
    </row>
    <row r="9" spans="1:7" ht="15.75" customHeight="1" x14ac:dyDescent="0.2">
      <c r="A9" s="37"/>
      <c r="B9" s="14"/>
      <c r="C9" s="14"/>
      <c r="D9" s="14"/>
      <c r="E9" s="14"/>
      <c r="F9" s="14"/>
      <c r="G9" s="14"/>
    </row>
    <row r="10" spans="1:7" ht="15.75" customHeight="1" x14ac:dyDescent="0.2">
      <c r="B10" s="14"/>
      <c r="C10" s="14"/>
      <c r="D10" s="14"/>
      <c r="E10" s="14"/>
      <c r="F10" s="14"/>
      <c r="G10" s="14"/>
    </row>
    <row r="11" spans="1:7" ht="15.75" customHeight="1" x14ac:dyDescent="0.2">
      <c r="B11" s="14"/>
      <c r="C11" s="14"/>
      <c r="D11" s="14"/>
      <c r="E11" s="14"/>
      <c r="F11" s="14"/>
      <c r="G11" s="14"/>
    </row>
    <row r="12" spans="1:7" ht="15.75" customHeight="1" x14ac:dyDescent="0.2">
      <c r="B12" s="14"/>
      <c r="C12" s="14"/>
      <c r="D12" s="14"/>
      <c r="E12" s="14"/>
      <c r="F12" s="14"/>
      <c r="G12" s="14"/>
    </row>
    <row r="13" spans="1:7" ht="15.75" customHeight="1" x14ac:dyDescent="0.2">
      <c r="B13" s="14"/>
      <c r="C13" s="14"/>
      <c r="D13" s="14"/>
      <c r="E13" s="14"/>
      <c r="F13" s="14"/>
      <c r="G13" s="14"/>
    </row>
    <row r="14" spans="1:7" ht="15.75" customHeight="1" x14ac:dyDescent="0.2">
      <c r="B14" s="89"/>
      <c r="C14" s="90"/>
      <c r="D14" s="90"/>
      <c r="E14" s="90"/>
      <c r="F14" s="90"/>
      <c r="G14" s="14"/>
    </row>
    <row r="15" spans="1:7" ht="15.75" customHeight="1" x14ac:dyDescent="0.2">
      <c r="B15" s="14"/>
      <c r="C15" s="14"/>
      <c r="D15" s="14"/>
      <c r="E15" s="14"/>
      <c r="F15" s="14"/>
      <c r="G15" s="14"/>
    </row>
    <row r="16" spans="1:7" ht="15.75" customHeight="1" x14ac:dyDescent="0.2">
      <c r="B16" s="14"/>
      <c r="C16" s="14"/>
      <c r="D16" s="14"/>
      <c r="E16" s="14"/>
      <c r="F16" s="14"/>
      <c r="G16" s="14"/>
    </row>
    <row r="17" spans="1:7" ht="15.75" customHeight="1" x14ac:dyDescent="0.2">
      <c r="B17" s="14"/>
      <c r="C17" s="14"/>
      <c r="D17" s="14"/>
      <c r="E17" s="14"/>
      <c r="F17" s="14"/>
      <c r="G17" s="14"/>
    </row>
    <row r="18" spans="1:7" ht="15.75" customHeight="1" x14ac:dyDescent="0.2">
      <c r="B18" s="14"/>
      <c r="C18" s="14"/>
      <c r="D18" s="14"/>
      <c r="E18" s="14"/>
      <c r="F18" s="14"/>
      <c r="G18" s="14"/>
    </row>
    <row r="19" spans="1:7" ht="15.75" customHeight="1" x14ac:dyDescent="0.2">
      <c r="E19" s="94"/>
      <c r="F19" s="94"/>
      <c r="G19" s="94"/>
    </row>
    <row r="20" spans="1:7" ht="15.75" customHeight="1" x14ac:dyDescent="0.2">
      <c r="E20" s="96"/>
      <c r="F20" s="96"/>
      <c r="G20" s="96"/>
    </row>
    <row r="21" spans="1:7" ht="15.75" customHeight="1" x14ac:dyDescent="0.2">
      <c r="E21" s="96"/>
      <c r="F21" s="96"/>
      <c r="G21" s="96"/>
    </row>
    <row r="22" spans="1:7" ht="15.75" customHeight="1" x14ac:dyDescent="0.2">
      <c r="E22" s="96"/>
      <c r="F22" s="96"/>
      <c r="G22" s="96"/>
    </row>
    <row r="23" spans="1:7" ht="15.75" customHeight="1" x14ac:dyDescent="0.2">
      <c r="A23" s="38"/>
      <c r="E23" s="96"/>
      <c r="F23" s="96"/>
      <c r="G23" s="96"/>
    </row>
    <row r="24" spans="1:7" ht="15.75" customHeight="1" x14ac:dyDescent="0.2">
      <c r="A24" s="38"/>
      <c r="B24" s="89"/>
      <c r="C24" s="90"/>
      <c r="D24" s="90"/>
      <c r="E24" s="90"/>
      <c r="F24" s="90"/>
      <c r="G24" s="14"/>
    </row>
    <row r="25" spans="1:7" ht="15.75" customHeight="1" x14ac:dyDescent="0.2">
      <c r="A25" s="38"/>
      <c r="B25" s="89"/>
      <c r="C25" s="90"/>
      <c r="D25" s="90"/>
      <c r="E25" s="90"/>
      <c r="F25" s="90"/>
      <c r="G25" s="14"/>
    </row>
    <row r="26" spans="1:7" ht="15.75" customHeight="1" x14ac:dyDescent="0.2">
      <c r="A26" s="38"/>
      <c r="B26" s="89"/>
      <c r="C26" s="90"/>
      <c r="D26" s="90"/>
      <c r="E26" s="90"/>
      <c r="F26" s="90"/>
      <c r="G26" s="14"/>
    </row>
    <row r="27" spans="1:7" ht="15.75" customHeight="1" x14ac:dyDescent="0.2">
      <c r="B27" s="89"/>
      <c r="C27" s="90"/>
      <c r="D27" s="90"/>
      <c r="E27" s="90"/>
      <c r="F27" s="90"/>
      <c r="G27" s="14"/>
    </row>
    <row r="28" spans="1:7" ht="15.75" customHeight="1" x14ac:dyDescent="0.2">
      <c r="A28" s="9"/>
      <c r="B28" s="92" t="s">
        <v>248</v>
      </c>
      <c r="C28" s="93" t="s">
        <v>249</v>
      </c>
      <c r="D28" s="90"/>
      <c r="E28" s="90"/>
      <c r="F28" s="90"/>
      <c r="G28" s="14"/>
    </row>
    <row r="29" spans="1:7" ht="15.75" customHeight="1" x14ac:dyDescent="0.2">
      <c r="A29" s="26" t="s">
        <v>245</v>
      </c>
      <c r="B29" s="95">
        <v>3.1099999999999999E-2</v>
      </c>
      <c r="C29" s="86">
        <v>1.03E-2</v>
      </c>
      <c r="D29" s="90"/>
      <c r="E29" s="90"/>
      <c r="F29" s="90"/>
      <c r="G29" s="14"/>
    </row>
    <row r="30" spans="1:7" ht="15.75" customHeight="1" x14ac:dyDescent="0.2">
      <c r="A30" s="26" t="s">
        <v>244</v>
      </c>
      <c r="B30" s="95">
        <v>7.3599999999999999E-2</v>
      </c>
      <c r="C30" s="86">
        <v>4.4499999999999998E-2</v>
      </c>
      <c r="D30" s="14"/>
      <c r="E30" s="14"/>
      <c r="F30" s="14"/>
      <c r="G30" s="14"/>
    </row>
    <row r="31" spans="1:7" ht="15.75" customHeight="1" x14ac:dyDescent="0.2">
      <c r="A31" s="87" t="s">
        <v>246</v>
      </c>
      <c r="B31" s="97">
        <v>1.78E-2</v>
      </c>
      <c r="C31" s="86">
        <v>-2E-3</v>
      </c>
      <c r="D31" s="14"/>
      <c r="E31" s="14"/>
      <c r="F31" s="14"/>
      <c r="G31" s="14"/>
    </row>
    <row r="32" spans="1:7" ht="15.75" customHeight="1" x14ac:dyDescent="0.2">
      <c r="A32" s="83" t="s">
        <v>247</v>
      </c>
      <c r="B32" s="98">
        <v>5.2999999999999999E-2</v>
      </c>
      <c r="C32" s="86">
        <v>2.1000000000000001E-2</v>
      </c>
    </row>
    <row r="33" spans="1:7" ht="15.75" customHeight="1" x14ac:dyDescent="0.2"/>
    <row r="34" spans="1:7" ht="15.75" customHeight="1" x14ac:dyDescent="0.2"/>
    <row r="35" spans="1:7" ht="15.75" customHeight="1" x14ac:dyDescent="0.2"/>
    <row r="36" spans="1:7" ht="15.75" customHeight="1" x14ac:dyDescent="0.2"/>
    <row r="37" spans="1:7" ht="15.75" customHeight="1" x14ac:dyDescent="0.2">
      <c r="B37" s="14"/>
      <c r="C37" s="14"/>
      <c r="D37" s="14"/>
      <c r="E37" s="14"/>
      <c r="F37" s="14"/>
      <c r="G37" s="14"/>
    </row>
    <row r="38" spans="1:7" ht="15.75" customHeight="1" x14ac:dyDescent="0.2">
      <c r="B38" s="14"/>
      <c r="C38" s="14"/>
      <c r="D38" s="14"/>
      <c r="E38" s="14"/>
      <c r="F38" s="14"/>
      <c r="G38" s="14"/>
    </row>
    <row r="39" spans="1:7" ht="15.75" customHeight="1" x14ac:dyDescent="0.2">
      <c r="B39" s="14"/>
      <c r="C39" s="14"/>
      <c r="D39" s="14"/>
      <c r="E39" s="14"/>
      <c r="F39" s="14"/>
      <c r="G39" s="14"/>
    </row>
    <row r="40" spans="1:7" ht="15.75" customHeight="1" x14ac:dyDescent="0.2">
      <c r="B40" s="14"/>
      <c r="C40" s="14"/>
      <c r="D40" s="14"/>
      <c r="E40" s="14"/>
      <c r="F40" s="14"/>
      <c r="G40" s="14"/>
    </row>
    <row r="41" spans="1:7" ht="15.75" customHeight="1" x14ac:dyDescent="0.2">
      <c r="A41" s="55"/>
      <c r="B41" s="94"/>
      <c r="C41" s="94"/>
      <c r="D41" s="94"/>
      <c r="E41" s="94"/>
      <c r="F41" s="94"/>
      <c r="G41" s="14"/>
    </row>
    <row r="42" spans="1:7" ht="15.75" customHeight="1" x14ac:dyDescent="0.2">
      <c r="A42" s="55"/>
      <c r="B42" s="57"/>
      <c r="C42" s="96"/>
      <c r="D42" s="96"/>
      <c r="E42" s="96"/>
      <c r="F42" s="96"/>
      <c r="G42" s="14"/>
    </row>
    <row r="43" spans="1:7" ht="15.75" customHeight="1" x14ac:dyDescent="0.2">
      <c r="A43" s="55"/>
      <c r="B43" s="57"/>
      <c r="C43" s="96"/>
      <c r="D43" s="96"/>
      <c r="E43" s="96"/>
      <c r="F43" s="96"/>
      <c r="G43" s="14"/>
    </row>
    <row r="44" spans="1:7" ht="15.75" customHeight="1" x14ac:dyDescent="0.2">
      <c r="A44" s="55"/>
      <c r="B44" s="57"/>
      <c r="C44" s="96"/>
      <c r="D44" s="96"/>
      <c r="E44" s="96"/>
      <c r="F44" s="96"/>
      <c r="G44" s="14"/>
    </row>
    <row r="45" spans="1:7" ht="15.75" customHeight="1" x14ac:dyDescent="0.2">
      <c r="A45" s="55"/>
      <c r="B45" s="57"/>
      <c r="C45" s="96"/>
      <c r="D45" s="96"/>
      <c r="E45" s="96"/>
      <c r="F45" s="96"/>
      <c r="G45" s="14"/>
    </row>
    <row r="46" spans="1:7" ht="15.75" customHeight="1" x14ac:dyDescent="0.2">
      <c r="A46" s="55"/>
      <c r="B46" s="57"/>
      <c r="C46" s="96"/>
      <c r="D46" s="96"/>
      <c r="E46" s="96"/>
      <c r="F46" s="96"/>
      <c r="G46" s="14"/>
    </row>
    <row r="47" spans="1:7" ht="15.75" customHeight="1" x14ac:dyDescent="0.2">
      <c r="A47" s="55"/>
      <c r="B47" s="57"/>
      <c r="C47" s="96"/>
      <c r="D47" s="96"/>
      <c r="E47" s="96"/>
      <c r="F47" s="96"/>
      <c r="G47" s="14"/>
    </row>
    <row r="48" spans="1:7" ht="15.75" customHeight="1" x14ac:dyDescent="0.2">
      <c r="A48" s="55"/>
      <c r="G48" s="94"/>
    </row>
    <row r="49" spans="1:7" ht="15.75" customHeight="1" x14ac:dyDescent="0.2">
      <c r="G49" s="90"/>
    </row>
    <row r="50" spans="1:7" ht="15.75" customHeight="1" x14ac:dyDescent="0.2">
      <c r="G50" s="90"/>
    </row>
    <row r="51" spans="1:7" ht="15.75" customHeight="1" x14ac:dyDescent="0.2">
      <c r="G51" s="90"/>
    </row>
    <row r="52" spans="1:7" ht="15.75" customHeight="1" x14ac:dyDescent="0.2">
      <c r="G52" s="90"/>
    </row>
    <row r="53" spans="1:7" ht="15.75" customHeight="1" x14ac:dyDescent="0.2">
      <c r="A53" s="9" t="s">
        <v>250</v>
      </c>
      <c r="B53" s="9" t="s">
        <v>251</v>
      </c>
      <c r="C53" s="9">
        <v>6</v>
      </c>
      <c r="D53" s="9">
        <v>7</v>
      </c>
      <c r="E53" s="9">
        <v>8</v>
      </c>
      <c r="F53" s="9">
        <v>9</v>
      </c>
      <c r="G53" s="14"/>
    </row>
    <row r="54" spans="1:7" ht="15.75" customHeight="1" x14ac:dyDescent="0.2">
      <c r="A54" s="26" t="s">
        <v>245</v>
      </c>
      <c r="B54" s="95">
        <v>3.1099999999999999E-2</v>
      </c>
      <c r="C54" s="23">
        <v>1.95E-2</v>
      </c>
      <c r="D54" s="85">
        <v>0.01</v>
      </c>
      <c r="E54" s="86">
        <v>2.0999999999999999E-3</v>
      </c>
      <c r="F54" s="86">
        <v>-4.7999999999999996E-3</v>
      </c>
      <c r="G54" s="14"/>
    </row>
    <row r="55" spans="1:7" ht="15.75" customHeight="1" x14ac:dyDescent="0.2">
      <c r="A55" s="26" t="s">
        <v>244</v>
      </c>
      <c r="B55" s="95">
        <v>7.3599999999999999E-2</v>
      </c>
      <c r="C55" s="23">
        <v>5.57E-2</v>
      </c>
      <c r="D55" s="85">
        <v>4.0300000000000002E-2</v>
      </c>
      <c r="E55" s="86">
        <v>2.6700000000000002E-2</v>
      </c>
      <c r="F55" s="86">
        <v>1.4500000000000001E-2</v>
      </c>
    </row>
    <row r="56" spans="1:7" ht="15.75" customHeight="1" x14ac:dyDescent="0.2">
      <c r="A56" s="87" t="s">
        <v>246</v>
      </c>
      <c r="B56" s="97">
        <v>1.78E-2</v>
      </c>
      <c r="C56" s="85">
        <v>6.7000000000000002E-3</v>
      </c>
      <c r="D56" s="85">
        <v>-2.3999999999999998E-3</v>
      </c>
      <c r="E56" s="88">
        <v>-1.01E-2</v>
      </c>
      <c r="F56" s="86">
        <v>-1.67E-2</v>
      </c>
    </row>
    <row r="57" spans="1:7" ht="15.75" customHeight="1" x14ac:dyDescent="0.2">
      <c r="A57" s="83" t="s">
        <v>247</v>
      </c>
      <c r="B57" s="98">
        <v>5.2999999999999999E-2</v>
      </c>
      <c r="C57" s="86">
        <v>3.3099999999999997E-2</v>
      </c>
      <c r="D57" s="86">
        <v>1.5599999999999999E-2</v>
      </c>
      <c r="E57" s="86">
        <v>-4.0000000000000002E-4</v>
      </c>
      <c r="F57" s="86">
        <v>-1.52E-2</v>
      </c>
    </row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spans="2:6" ht="15.75" customHeight="1" x14ac:dyDescent="0.2"/>
    <row r="66" spans="2:6" ht="15.75" customHeight="1" x14ac:dyDescent="0.2"/>
    <row r="67" spans="2:6" ht="15.75" customHeight="1" x14ac:dyDescent="0.2"/>
    <row r="68" spans="2:6" ht="15.75" customHeight="1" x14ac:dyDescent="0.2"/>
    <row r="69" spans="2:6" ht="15.75" customHeight="1" x14ac:dyDescent="0.2"/>
    <row r="70" spans="2:6" ht="15.75" customHeight="1" x14ac:dyDescent="0.2"/>
    <row r="71" spans="2:6" ht="15.75" customHeight="1" x14ac:dyDescent="0.2"/>
    <row r="72" spans="2:6" ht="15.75" customHeight="1" x14ac:dyDescent="0.2"/>
    <row r="73" spans="2:6" ht="15.75" customHeight="1" x14ac:dyDescent="0.2"/>
    <row r="74" spans="2:6" ht="15.75" customHeight="1" x14ac:dyDescent="0.2"/>
    <row r="75" spans="2:6" ht="15.75" customHeight="1" x14ac:dyDescent="0.2"/>
    <row r="76" spans="2:6" ht="15.75" customHeight="1" x14ac:dyDescent="0.2"/>
    <row r="77" spans="2:6" ht="15.75" customHeight="1" x14ac:dyDescent="0.2"/>
    <row r="78" spans="2:6" ht="15.75" customHeight="1" x14ac:dyDescent="0.2"/>
    <row r="79" spans="2:6" ht="15.75" customHeight="1" x14ac:dyDescent="0.2"/>
    <row r="80" spans="2:6" ht="15.75" customHeight="1" x14ac:dyDescent="0.2">
      <c r="B80" s="9" t="s">
        <v>253</v>
      </c>
      <c r="C80" s="9" t="s">
        <v>254</v>
      </c>
      <c r="D80" s="9">
        <v>5</v>
      </c>
      <c r="E80" s="92">
        <v>5.5</v>
      </c>
      <c r="F80" s="93">
        <v>6</v>
      </c>
    </row>
    <row r="81" spans="2:6" ht="15.75" customHeight="1" x14ac:dyDescent="0.2">
      <c r="B81" s="26" t="s">
        <v>245</v>
      </c>
      <c r="C81" s="95">
        <v>3.1099999999999999E-2</v>
      </c>
      <c r="D81" s="23">
        <v>3.1099999999999999E-2</v>
      </c>
      <c r="E81" s="97">
        <v>3.1099999999999999E-2</v>
      </c>
      <c r="F81" s="86">
        <v>3.1099999999999999E-2</v>
      </c>
    </row>
    <row r="82" spans="2:6" ht="15.75" customHeight="1" x14ac:dyDescent="0.2">
      <c r="B82" s="26" t="s">
        <v>244</v>
      </c>
      <c r="C82" s="95">
        <v>7.3599999999999999E-2</v>
      </c>
      <c r="D82" s="23">
        <v>7.0000000000000007E-2</v>
      </c>
      <c r="E82" s="97">
        <v>6.6400000000000001E-2</v>
      </c>
      <c r="F82" s="86">
        <v>6.2899999999999998E-2</v>
      </c>
    </row>
    <row r="83" spans="2:6" ht="15.75" customHeight="1" x14ac:dyDescent="0.2">
      <c r="B83" s="87" t="s">
        <v>246</v>
      </c>
      <c r="C83" s="97">
        <v>1.78E-2</v>
      </c>
      <c r="D83" s="85">
        <v>1.78E-2</v>
      </c>
      <c r="E83" s="97">
        <v>1.78E-2</v>
      </c>
      <c r="F83" s="86">
        <v>1.78E-2</v>
      </c>
    </row>
    <row r="84" spans="2:6" ht="15.75" customHeight="1" x14ac:dyDescent="0.2">
      <c r="B84" s="83" t="s">
        <v>247</v>
      </c>
      <c r="C84" s="98">
        <v>5.2999999999999999E-2</v>
      </c>
      <c r="D84" s="86">
        <v>4.9299999999999997E-2</v>
      </c>
      <c r="E84" s="98">
        <v>4.5600000000000002E-2</v>
      </c>
      <c r="F84" s="86">
        <v>4.19E-2</v>
      </c>
    </row>
    <row r="85" spans="2:6" ht="15.75" customHeight="1" x14ac:dyDescent="0.2"/>
    <row r="86" spans="2:6" ht="15.75" customHeight="1" x14ac:dyDescent="0.2"/>
    <row r="87" spans="2:6" ht="15.75" customHeight="1" x14ac:dyDescent="0.2"/>
    <row r="88" spans="2:6" ht="15.75" customHeight="1" x14ac:dyDescent="0.2"/>
    <row r="89" spans="2:6" ht="15.75" customHeight="1" x14ac:dyDescent="0.2"/>
    <row r="90" spans="2:6" ht="15.75" customHeight="1" x14ac:dyDescent="0.2"/>
    <row r="91" spans="2:6" ht="15.75" customHeight="1" x14ac:dyDescent="0.2"/>
    <row r="92" spans="2:6" ht="15.75" customHeight="1" x14ac:dyDescent="0.2"/>
    <row r="93" spans="2:6" ht="15.75" customHeight="1" x14ac:dyDescent="0.2"/>
    <row r="94" spans="2:6" ht="15.75" customHeight="1" x14ac:dyDescent="0.2"/>
    <row r="95" spans="2:6" ht="15.75" customHeight="1" x14ac:dyDescent="0.2"/>
    <row r="96" spans="2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8"/>
  <sheetViews>
    <sheetView zoomScale="60" zoomScaleNormal="60" workbookViewId="0"/>
  </sheetViews>
  <sheetFormatPr baseColWidth="10" defaultColWidth="11.28515625" defaultRowHeight="15" customHeight="1" x14ac:dyDescent="0.2"/>
  <cols>
    <col min="1" max="1" width="40.7109375" customWidth="1"/>
    <col min="2" max="2" width="211" customWidth="1"/>
    <col min="3" max="26" width="10.5703125" customWidth="1"/>
  </cols>
  <sheetData>
    <row r="1" spans="1:2" ht="27" customHeight="1" thickBot="1" x14ac:dyDescent="0.3">
      <c r="A1" s="195" t="s">
        <v>16</v>
      </c>
      <c r="B1" s="196"/>
    </row>
    <row r="2" spans="1:2" ht="19" customHeight="1" x14ac:dyDescent="0.2">
      <c r="A2" s="192"/>
      <c r="B2" s="193"/>
    </row>
    <row r="3" spans="1:2" ht="20" customHeight="1" x14ac:dyDescent="0.25">
      <c r="A3" s="194" t="s">
        <v>11</v>
      </c>
      <c r="B3" s="194" t="s">
        <v>115</v>
      </c>
    </row>
    <row r="4" spans="1:2" ht="15.75" customHeight="1" x14ac:dyDescent="0.2">
      <c r="A4" s="165"/>
      <c r="B4" s="166"/>
    </row>
    <row r="5" spans="1:2" ht="15.75" customHeight="1" x14ac:dyDescent="0.2">
      <c r="A5" s="167" t="s">
        <v>116</v>
      </c>
      <c r="B5" s="166"/>
    </row>
    <row r="6" spans="1:2" ht="15.75" customHeight="1" x14ac:dyDescent="0.2">
      <c r="A6" s="168" t="s">
        <v>31</v>
      </c>
      <c r="B6" s="133" t="s">
        <v>117</v>
      </c>
    </row>
    <row r="7" spans="1:2" ht="15.75" customHeight="1" x14ac:dyDescent="0.2">
      <c r="A7" s="168" t="s">
        <v>33</v>
      </c>
      <c r="B7" s="133" t="s">
        <v>118</v>
      </c>
    </row>
    <row r="8" spans="1:2" ht="15.75" customHeight="1" x14ac:dyDescent="0.2">
      <c r="A8" s="168" t="s">
        <v>35</v>
      </c>
      <c r="B8" s="133" t="s">
        <v>119</v>
      </c>
    </row>
    <row r="9" spans="1:2" ht="15.75" customHeight="1" x14ac:dyDescent="0.2">
      <c r="A9" s="168" t="s">
        <v>37</v>
      </c>
      <c r="B9" s="133" t="s">
        <v>120</v>
      </c>
    </row>
    <row r="10" spans="1:2" ht="15.75" customHeight="1" x14ac:dyDescent="0.2">
      <c r="A10" s="168" t="s">
        <v>39</v>
      </c>
      <c r="B10" s="169" t="s">
        <v>121</v>
      </c>
    </row>
    <row r="11" spans="1:2" ht="15.75" customHeight="1" x14ac:dyDescent="0.2">
      <c r="A11" s="168" t="s">
        <v>41</v>
      </c>
      <c r="B11" s="170" t="s">
        <v>122</v>
      </c>
    </row>
    <row r="12" spans="1:2" ht="15.75" customHeight="1" x14ac:dyDescent="0.2">
      <c r="A12" s="171" t="s">
        <v>43</v>
      </c>
      <c r="B12" s="172" t="s">
        <v>123</v>
      </c>
    </row>
    <row r="13" spans="1:2" ht="15.75" customHeight="1" x14ac:dyDescent="0.2">
      <c r="A13" s="168" t="s">
        <v>124</v>
      </c>
      <c r="B13" s="173" t="s">
        <v>125</v>
      </c>
    </row>
    <row r="14" spans="1:2" ht="15.75" customHeight="1" x14ac:dyDescent="0.2">
      <c r="A14" s="165"/>
      <c r="B14" s="174"/>
    </row>
    <row r="15" spans="1:2" ht="15.75" customHeight="1" x14ac:dyDescent="0.2">
      <c r="A15" s="175" t="s">
        <v>30</v>
      </c>
      <c r="B15" s="174"/>
    </row>
    <row r="16" spans="1:2" ht="15.75" customHeight="1" x14ac:dyDescent="0.2">
      <c r="A16" s="176" t="s">
        <v>32</v>
      </c>
      <c r="B16" s="177" t="s">
        <v>126</v>
      </c>
    </row>
    <row r="17" spans="1:2" ht="15.75" customHeight="1" x14ac:dyDescent="0.2">
      <c r="A17" s="176" t="s">
        <v>34</v>
      </c>
      <c r="B17" s="173" t="s">
        <v>127</v>
      </c>
    </row>
    <row r="18" spans="1:2" ht="15.75" customHeight="1" x14ac:dyDescent="0.2">
      <c r="A18" s="178" t="s">
        <v>128</v>
      </c>
      <c r="B18" s="177" t="s">
        <v>129</v>
      </c>
    </row>
    <row r="19" spans="1:2" ht="15.75" customHeight="1" x14ac:dyDescent="0.2">
      <c r="A19" s="176" t="s">
        <v>38</v>
      </c>
      <c r="B19" s="173" t="s">
        <v>130</v>
      </c>
    </row>
    <row r="20" spans="1:2" ht="15.75" customHeight="1" x14ac:dyDescent="0.2">
      <c r="A20" s="179" t="s">
        <v>40</v>
      </c>
      <c r="B20" s="173" t="s">
        <v>131</v>
      </c>
    </row>
    <row r="21" spans="1:2" ht="15.75" customHeight="1" x14ac:dyDescent="0.2">
      <c r="A21" s="179" t="s">
        <v>42</v>
      </c>
      <c r="B21" s="173" t="s">
        <v>132</v>
      </c>
    </row>
    <row r="22" spans="1:2" ht="15.75" customHeight="1" x14ac:dyDescent="0.2">
      <c r="A22" s="176" t="s">
        <v>45</v>
      </c>
      <c r="B22" s="177" t="s">
        <v>133</v>
      </c>
    </row>
    <row r="23" spans="1:2" ht="15.75" customHeight="1" x14ac:dyDescent="0.2">
      <c r="A23" s="176"/>
      <c r="B23" s="174"/>
    </row>
    <row r="24" spans="1:2" ht="15.75" customHeight="1" x14ac:dyDescent="0.2">
      <c r="A24" s="175" t="s">
        <v>46</v>
      </c>
      <c r="B24" s="174"/>
    </row>
    <row r="25" spans="1:2" ht="15.75" customHeight="1" x14ac:dyDescent="0.2">
      <c r="A25" s="176" t="s">
        <v>134</v>
      </c>
      <c r="B25" s="173" t="s">
        <v>135</v>
      </c>
    </row>
    <row r="26" spans="1:2" ht="15.75" customHeight="1" x14ac:dyDescent="0.2">
      <c r="A26" s="171" t="s">
        <v>51</v>
      </c>
      <c r="B26" s="173" t="s">
        <v>136</v>
      </c>
    </row>
    <row r="27" spans="1:2" ht="15.75" customHeight="1" x14ac:dyDescent="0.2">
      <c r="A27" s="176" t="s">
        <v>52</v>
      </c>
      <c r="B27" s="180" t="s">
        <v>137</v>
      </c>
    </row>
    <row r="28" spans="1:2" ht="15.75" customHeight="1" x14ac:dyDescent="0.2">
      <c r="A28" s="176" t="s">
        <v>138</v>
      </c>
      <c r="B28" s="173" t="s">
        <v>139</v>
      </c>
    </row>
    <row r="29" spans="1:2" ht="15.75" customHeight="1" x14ac:dyDescent="0.2">
      <c r="A29" s="176" t="s">
        <v>140</v>
      </c>
      <c r="B29" s="180" t="s">
        <v>141</v>
      </c>
    </row>
    <row r="30" spans="1:2" ht="15.75" customHeight="1" x14ac:dyDescent="0.2">
      <c r="A30" s="176" t="s">
        <v>55</v>
      </c>
      <c r="B30" s="173" t="s">
        <v>139</v>
      </c>
    </row>
    <row r="31" spans="1:2" ht="15.75" customHeight="1" x14ac:dyDescent="0.2">
      <c r="A31" s="176" t="s">
        <v>56</v>
      </c>
      <c r="B31" s="173" t="s">
        <v>142</v>
      </c>
    </row>
    <row r="32" spans="1:2" ht="15.75" customHeight="1" x14ac:dyDescent="0.2">
      <c r="A32" s="176" t="s">
        <v>57</v>
      </c>
      <c r="B32" s="173" t="s">
        <v>142</v>
      </c>
    </row>
    <row r="33" spans="1:2" ht="15.75" customHeight="1" x14ac:dyDescent="0.2">
      <c r="A33" s="176" t="s">
        <v>58</v>
      </c>
      <c r="B33" s="173" t="s">
        <v>143</v>
      </c>
    </row>
    <row r="34" spans="1:2" ht="15.75" customHeight="1" x14ac:dyDescent="0.2">
      <c r="A34" s="176" t="s">
        <v>59</v>
      </c>
      <c r="B34" s="173" t="s">
        <v>144</v>
      </c>
    </row>
    <row r="35" spans="1:2" ht="15.75" customHeight="1" x14ac:dyDescent="0.2">
      <c r="A35" s="176" t="s">
        <v>60</v>
      </c>
      <c r="B35" s="173" t="s">
        <v>145</v>
      </c>
    </row>
    <row r="36" spans="1:2" ht="15.75" customHeight="1" x14ac:dyDescent="0.2">
      <c r="A36" s="176" t="s">
        <v>61</v>
      </c>
      <c r="B36" s="181" t="s">
        <v>146</v>
      </c>
    </row>
    <row r="37" spans="1:2" ht="15.75" customHeight="1" x14ac:dyDescent="0.2">
      <c r="A37" s="165"/>
      <c r="B37" s="174"/>
    </row>
    <row r="38" spans="1:2" ht="15.75" customHeight="1" x14ac:dyDescent="0.2">
      <c r="A38" s="182" t="s">
        <v>147</v>
      </c>
      <c r="B38" s="174"/>
    </row>
    <row r="39" spans="1:2" ht="15.75" customHeight="1" x14ac:dyDescent="0.2">
      <c r="A39" s="176" t="s">
        <v>134</v>
      </c>
      <c r="B39" s="173" t="s">
        <v>135</v>
      </c>
    </row>
    <row r="40" spans="1:2" ht="15.75" customHeight="1" x14ac:dyDescent="0.2">
      <c r="A40" s="171" t="s">
        <v>51</v>
      </c>
      <c r="B40" s="173" t="s">
        <v>136</v>
      </c>
    </row>
    <row r="41" spans="1:2" ht="15.75" customHeight="1" x14ac:dyDescent="0.2">
      <c r="A41" s="176" t="s">
        <v>52</v>
      </c>
      <c r="B41" s="180" t="s">
        <v>148</v>
      </c>
    </row>
    <row r="42" spans="1:2" ht="15.75" customHeight="1" x14ac:dyDescent="0.2">
      <c r="A42" s="176" t="s">
        <v>138</v>
      </c>
      <c r="B42" s="173" t="s">
        <v>139</v>
      </c>
    </row>
    <row r="43" spans="1:2" ht="15.75" customHeight="1" x14ac:dyDescent="0.2">
      <c r="A43" s="176" t="s">
        <v>140</v>
      </c>
      <c r="B43" s="180" t="s">
        <v>149</v>
      </c>
    </row>
    <row r="44" spans="1:2" ht="15.75" customHeight="1" x14ac:dyDescent="0.2">
      <c r="A44" s="176" t="s">
        <v>55</v>
      </c>
      <c r="B44" s="173" t="s">
        <v>139</v>
      </c>
    </row>
    <row r="45" spans="1:2" ht="15.75" customHeight="1" x14ac:dyDescent="0.2">
      <c r="A45" s="176" t="s">
        <v>56</v>
      </c>
      <c r="B45" s="173" t="s">
        <v>142</v>
      </c>
    </row>
    <row r="46" spans="1:2" ht="15.75" customHeight="1" x14ac:dyDescent="0.2">
      <c r="A46" s="176" t="s">
        <v>57</v>
      </c>
      <c r="B46" s="173" t="s">
        <v>142</v>
      </c>
    </row>
    <row r="47" spans="1:2" ht="15.75" customHeight="1" x14ac:dyDescent="0.2">
      <c r="A47" s="176" t="s">
        <v>58</v>
      </c>
      <c r="B47" s="173" t="s">
        <v>150</v>
      </c>
    </row>
    <row r="48" spans="1:2" ht="15.75" customHeight="1" x14ac:dyDescent="0.2">
      <c r="A48" s="176" t="s">
        <v>59</v>
      </c>
      <c r="B48" s="173" t="s">
        <v>144</v>
      </c>
    </row>
    <row r="49" spans="1:2" ht="15.75" customHeight="1" x14ac:dyDescent="0.2">
      <c r="A49" s="176" t="s">
        <v>60</v>
      </c>
      <c r="B49" s="173" t="s">
        <v>145</v>
      </c>
    </row>
    <row r="50" spans="1:2" ht="15.75" customHeight="1" x14ac:dyDescent="0.2">
      <c r="A50" s="176" t="s">
        <v>61</v>
      </c>
      <c r="B50" s="177" t="s">
        <v>146</v>
      </c>
    </row>
    <row r="51" spans="1:2" ht="15.75" customHeight="1" x14ac:dyDescent="0.2">
      <c r="A51" s="165"/>
      <c r="B51" s="174"/>
    </row>
    <row r="52" spans="1:2" ht="15.75" customHeight="1" x14ac:dyDescent="0.2">
      <c r="A52" s="182" t="s">
        <v>48</v>
      </c>
      <c r="B52" s="174"/>
    </row>
    <row r="53" spans="1:2" ht="15.75" customHeight="1" x14ac:dyDescent="0.2">
      <c r="A53" s="176" t="s">
        <v>134</v>
      </c>
      <c r="B53" s="173" t="s">
        <v>135</v>
      </c>
    </row>
    <row r="54" spans="1:2" ht="15.75" customHeight="1" x14ac:dyDescent="0.2">
      <c r="A54" s="171" t="s">
        <v>51</v>
      </c>
      <c r="B54" s="173" t="s">
        <v>136</v>
      </c>
    </row>
    <row r="55" spans="1:2" ht="15.75" customHeight="1" x14ac:dyDescent="0.2">
      <c r="A55" s="176" t="s">
        <v>52</v>
      </c>
      <c r="B55" s="180" t="s">
        <v>151</v>
      </c>
    </row>
    <row r="56" spans="1:2" ht="15.75" customHeight="1" x14ac:dyDescent="0.2">
      <c r="A56" s="176" t="s">
        <v>138</v>
      </c>
      <c r="B56" s="173" t="s">
        <v>139</v>
      </c>
    </row>
    <row r="57" spans="1:2" ht="15.75" customHeight="1" x14ac:dyDescent="0.2">
      <c r="A57" s="176" t="s">
        <v>140</v>
      </c>
      <c r="B57" s="180" t="s">
        <v>152</v>
      </c>
    </row>
    <row r="58" spans="1:2" ht="15.75" customHeight="1" x14ac:dyDescent="0.2">
      <c r="A58" s="176" t="s">
        <v>55</v>
      </c>
      <c r="B58" s="173" t="s">
        <v>139</v>
      </c>
    </row>
    <row r="59" spans="1:2" ht="15.75" customHeight="1" x14ac:dyDescent="0.2">
      <c r="A59" s="176" t="s">
        <v>56</v>
      </c>
      <c r="B59" s="173" t="s">
        <v>153</v>
      </c>
    </row>
    <row r="60" spans="1:2" ht="15.75" customHeight="1" x14ac:dyDescent="0.2">
      <c r="A60" s="176" t="s">
        <v>57</v>
      </c>
      <c r="B60" s="173" t="s">
        <v>153</v>
      </c>
    </row>
    <row r="61" spans="1:2" ht="15.75" customHeight="1" x14ac:dyDescent="0.2">
      <c r="A61" s="176" t="s">
        <v>58</v>
      </c>
      <c r="B61" s="173" t="s">
        <v>150</v>
      </c>
    </row>
    <row r="62" spans="1:2" ht="15.75" customHeight="1" x14ac:dyDescent="0.2">
      <c r="A62" s="176" t="s">
        <v>59</v>
      </c>
      <c r="B62" s="173" t="s">
        <v>144</v>
      </c>
    </row>
    <row r="63" spans="1:2" ht="15.75" customHeight="1" x14ac:dyDescent="0.2">
      <c r="A63" s="176" t="s">
        <v>60</v>
      </c>
      <c r="B63" s="173" t="s">
        <v>145</v>
      </c>
    </row>
    <row r="64" spans="1:2" ht="15.75" customHeight="1" x14ac:dyDescent="0.2">
      <c r="A64" s="176" t="s">
        <v>61</v>
      </c>
      <c r="B64" s="177" t="s">
        <v>146</v>
      </c>
    </row>
    <row r="65" spans="1:2" ht="15.75" customHeight="1" x14ac:dyDescent="0.2">
      <c r="A65" s="165"/>
      <c r="B65" s="174"/>
    </row>
    <row r="66" spans="1:2" ht="15.75" customHeight="1" x14ac:dyDescent="0.2">
      <c r="A66" s="183" t="s">
        <v>154</v>
      </c>
      <c r="B66" s="174"/>
    </row>
    <row r="67" spans="1:2" ht="15.75" customHeight="1" x14ac:dyDescent="0.2">
      <c r="A67" s="176" t="s">
        <v>134</v>
      </c>
      <c r="B67" s="173" t="s">
        <v>155</v>
      </c>
    </row>
    <row r="68" spans="1:2" ht="15.75" customHeight="1" x14ac:dyDescent="0.2">
      <c r="A68" s="176" t="s">
        <v>52</v>
      </c>
      <c r="B68" s="173" t="s">
        <v>156</v>
      </c>
    </row>
    <row r="69" spans="1:2" ht="15.75" customHeight="1" x14ac:dyDescent="0.2">
      <c r="A69" s="176" t="s">
        <v>138</v>
      </c>
      <c r="B69" s="173" t="s">
        <v>30</v>
      </c>
    </row>
    <row r="70" spans="1:2" ht="15.75" customHeight="1" x14ac:dyDescent="0.2">
      <c r="A70" s="176" t="s">
        <v>140</v>
      </c>
      <c r="B70" s="177" t="s">
        <v>157</v>
      </c>
    </row>
    <row r="71" spans="1:2" ht="15.75" customHeight="1" x14ac:dyDescent="0.2">
      <c r="A71" s="176" t="s">
        <v>55</v>
      </c>
      <c r="B71" s="173" t="s">
        <v>30</v>
      </c>
    </row>
    <row r="72" spans="1:2" ht="15.75" customHeight="1" x14ac:dyDescent="0.2">
      <c r="A72" s="176" t="s">
        <v>56</v>
      </c>
      <c r="B72" s="173" t="s">
        <v>155</v>
      </c>
    </row>
    <row r="73" spans="1:2" ht="15.75" customHeight="1" x14ac:dyDescent="0.2">
      <c r="A73" s="176" t="s">
        <v>68</v>
      </c>
      <c r="B73" s="173" t="s">
        <v>145</v>
      </c>
    </row>
    <row r="74" spans="1:2" ht="15.75" customHeight="1" x14ac:dyDescent="0.2">
      <c r="A74" s="176" t="s">
        <v>61</v>
      </c>
      <c r="B74" s="181" t="s">
        <v>146</v>
      </c>
    </row>
    <row r="75" spans="1:2" ht="15.75" customHeight="1" x14ac:dyDescent="0.2">
      <c r="A75" s="176" t="s">
        <v>70</v>
      </c>
      <c r="B75" s="181" t="s">
        <v>158</v>
      </c>
    </row>
    <row r="76" spans="1:2" ht="15.75" customHeight="1" x14ac:dyDescent="0.2">
      <c r="A76" s="176" t="s">
        <v>71</v>
      </c>
      <c r="B76" s="181" t="s">
        <v>159</v>
      </c>
    </row>
    <row r="77" spans="1:2" ht="15.75" customHeight="1" x14ac:dyDescent="0.2">
      <c r="A77" s="165"/>
      <c r="B77" s="174"/>
    </row>
    <row r="78" spans="1:2" ht="15.75" customHeight="1" x14ac:dyDescent="0.2">
      <c r="A78" s="183" t="s">
        <v>160</v>
      </c>
      <c r="B78" s="174"/>
    </row>
    <row r="79" spans="1:2" ht="15.75" customHeight="1" x14ac:dyDescent="0.2">
      <c r="A79" s="176" t="s">
        <v>134</v>
      </c>
      <c r="B79" s="173" t="s">
        <v>116</v>
      </c>
    </row>
    <row r="80" spans="1:2" ht="15.75" customHeight="1" x14ac:dyDescent="0.2">
      <c r="A80" s="176" t="s">
        <v>52</v>
      </c>
      <c r="B80" s="173" t="s">
        <v>156</v>
      </c>
    </row>
    <row r="81" spans="1:2" ht="15.75" customHeight="1" x14ac:dyDescent="0.2">
      <c r="A81" s="176" t="s">
        <v>138</v>
      </c>
      <c r="B81" s="173" t="s">
        <v>30</v>
      </c>
    </row>
    <row r="82" spans="1:2" ht="15.75" customHeight="1" x14ac:dyDescent="0.2">
      <c r="A82" s="176" t="s">
        <v>140</v>
      </c>
      <c r="B82" s="177" t="s">
        <v>161</v>
      </c>
    </row>
    <row r="83" spans="1:2" ht="15.75" customHeight="1" x14ac:dyDescent="0.2">
      <c r="A83" s="176" t="s">
        <v>55</v>
      </c>
      <c r="B83" s="173" t="s">
        <v>30</v>
      </c>
    </row>
    <row r="84" spans="1:2" ht="15.75" customHeight="1" x14ac:dyDescent="0.2">
      <c r="A84" s="176" t="s">
        <v>56</v>
      </c>
      <c r="B84" s="173" t="s">
        <v>116</v>
      </c>
    </row>
    <row r="85" spans="1:2" ht="15.75" customHeight="1" x14ac:dyDescent="0.2">
      <c r="A85" s="176" t="s">
        <v>68</v>
      </c>
      <c r="B85" s="173" t="s">
        <v>145</v>
      </c>
    </row>
    <row r="86" spans="1:2" ht="15.75" customHeight="1" x14ac:dyDescent="0.2">
      <c r="A86" s="176" t="s">
        <v>61</v>
      </c>
      <c r="B86" s="181" t="s">
        <v>146</v>
      </c>
    </row>
    <row r="87" spans="1:2" ht="15.75" customHeight="1" x14ac:dyDescent="0.2">
      <c r="A87" s="176" t="s">
        <v>70</v>
      </c>
      <c r="B87" s="181" t="s">
        <v>158</v>
      </c>
    </row>
    <row r="88" spans="1:2" ht="15.75" customHeight="1" x14ac:dyDescent="0.2">
      <c r="A88" s="176" t="s">
        <v>71</v>
      </c>
      <c r="B88" s="181" t="s">
        <v>159</v>
      </c>
    </row>
    <row r="89" spans="1:2" ht="15.75" customHeight="1" x14ac:dyDescent="0.2">
      <c r="A89" s="165"/>
      <c r="B89" s="174"/>
    </row>
    <row r="90" spans="1:2" ht="15.75" customHeight="1" x14ac:dyDescent="0.2">
      <c r="A90" s="175" t="s">
        <v>64</v>
      </c>
      <c r="B90" s="174"/>
    </row>
    <row r="91" spans="1:2" ht="15.75" customHeight="1" x14ac:dyDescent="0.2">
      <c r="A91" s="171" t="s">
        <v>50</v>
      </c>
      <c r="B91" s="173" t="s">
        <v>162</v>
      </c>
    </row>
    <row r="92" spans="1:2" ht="15.75" customHeight="1" x14ac:dyDescent="0.2">
      <c r="A92" s="171" t="s">
        <v>51</v>
      </c>
      <c r="B92" s="173" t="s">
        <v>163</v>
      </c>
    </row>
    <row r="93" spans="1:2" ht="15.75" customHeight="1" x14ac:dyDescent="0.2">
      <c r="A93" s="171" t="s">
        <v>66</v>
      </c>
      <c r="B93" s="181" t="s">
        <v>164</v>
      </c>
    </row>
    <row r="94" spans="1:2" ht="15.75" customHeight="1" x14ac:dyDescent="0.2">
      <c r="A94" s="171" t="s">
        <v>67</v>
      </c>
      <c r="B94" s="173" t="s">
        <v>165</v>
      </c>
    </row>
    <row r="95" spans="1:2" ht="15.75" customHeight="1" x14ac:dyDescent="0.2">
      <c r="A95" s="171" t="s">
        <v>52</v>
      </c>
      <c r="B95" s="177" t="s">
        <v>166</v>
      </c>
    </row>
    <row r="96" spans="1:2" ht="15.75" customHeight="1" x14ac:dyDescent="0.2">
      <c r="A96" s="171" t="s">
        <v>53</v>
      </c>
      <c r="B96" s="173" t="s">
        <v>30</v>
      </c>
    </row>
    <row r="97" spans="1:2" ht="15.75" customHeight="1" x14ac:dyDescent="0.2">
      <c r="A97" s="171" t="s">
        <v>69</v>
      </c>
      <c r="B97" s="177" t="s">
        <v>167</v>
      </c>
    </row>
    <row r="98" spans="1:2" ht="15.75" customHeight="1" x14ac:dyDescent="0.2">
      <c r="A98" s="171" t="s">
        <v>60</v>
      </c>
      <c r="B98" s="173" t="s">
        <v>145</v>
      </c>
    </row>
    <row r="99" spans="1:2" ht="15.75" customHeight="1" x14ac:dyDescent="0.2">
      <c r="A99" s="171" t="s">
        <v>61</v>
      </c>
      <c r="B99" s="177" t="s">
        <v>168</v>
      </c>
    </row>
    <row r="100" spans="1:2" ht="15.75" customHeight="1" x14ac:dyDescent="0.2">
      <c r="A100" s="171" t="s">
        <v>56</v>
      </c>
      <c r="B100" s="177" t="s">
        <v>169</v>
      </c>
    </row>
    <row r="101" spans="1:2" ht="15.75" customHeight="1" x14ac:dyDescent="0.2">
      <c r="A101" s="165"/>
      <c r="B101" s="184"/>
    </row>
    <row r="102" spans="1:2" ht="15.75" customHeight="1" x14ac:dyDescent="0.2">
      <c r="A102" s="175" t="s">
        <v>72</v>
      </c>
      <c r="B102" s="184"/>
    </row>
    <row r="103" spans="1:2" ht="15.75" customHeight="1" x14ac:dyDescent="0.2">
      <c r="A103" s="183" t="s">
        <v>74</v>
      </c>
      <c r="B103" s="184"/>
    </row>
    <row r="104" spans="1:2" ht="15.75" customHeight="1" x14ac:dyDescent="0.2">
      <c r="A104" s="185" t="s">
        <v>75</v>
      </c>
      <c r="B104" s="177" t="s">
        <v>170</v>
      </c>
    </row>
    <row r="105" spans="1:2" ht="15.75" customHeight="1" x14ac:dyDescent="0.2">
      <c r="A105" s="185" t="s">
        <v>77</v>
      </c>
      <c r="B105" s="181" t="s">
        <v>170</v>
      </c>
    </row>
    <row r="106" spans="1:2" ht="15.75" customHeight="1" x14ac:dyDescent="0.2">
      <c r="A106" s="185" t="s">
        <v>79</v>
      </c>
      <c r="B106" s="177" t="s">
        <v>171</v>
      </c>
    </row>
    <row r="107" spans="1:2" ht="15.75" customHeight="1" x14ac:dyDescent="0.2">
      <c r="A107" s="185" t="s">
        <v>81</v>
      </c>
      <c r="B107" s="177" t="s">
        <v>170</v>
      </c>
    </row>
    <row r="108" spans="1:2" ht="15.75" customHeight="1" x14ac:dyDescent="0.2">
      <c r="A108" s="185" t="s">
        <v>172</v>
      </c>
      <c r="B108" s="177" t="s">
        <v>173</v>
      </c>
    </row>
    <row r="109" spans="1:2" ht="15.75" customHeight="1" x14ac:dyDescent="0.2">
      <c r="A109" s="185" t="s">
        <v>83</v>
      </c>
      <c r="B109" s="177" t="s">
        <v>174</v>
      </c>
    </row>
    <row r="110" spans="1:2" ht="15.75" customHeight="1" x14ac:dyDescent="0.2">
      <c r="A110" s="185" t="s">
        <v>85</v>
      </c>
      <c r="B110" s="177" t="s">
        <v>175</v>
      </c>
    </row>
    <row r="111" spans="1:2" ht="15.75" customHeight="1" x14ac:dyDescent="0.2">
      <c r="A111" s="183" t="s">
        <v>87</v>
      </c>
      <c r="B111" s="184"/>
    </row>
    <row r="112" spans="1:2" ht="15.75" customHeight="1" x14ac:dyDescent="0.2">
      <c r="A112" s="185" t="s">
        <v>33</v>
      </c>
      <c r="B112" s="184"/>
    </row>
    <row r="113" spans="1:2" ht="15.75" customHeight="1" x14ac:dyDescent="0.2">
      <c r="A113" s="185" t="s">
        <v>89</v>
      </c>
      <c r="B113" s="177" t="s">
        <v>176</v>
      </c>
    </row>
    <row r="114" spans="1:2" ht="15.75" customHeight="1" x14ac:dyDescent="0.2">
      <c r="A114" s="185" t="s">
        <v>80</v>
      </c>
      <c r="B114" s="184"/>
    </row>
    <row r="115" spans="1:2" ht="15.75" customHeight="1" x14ac:dyDescent="0.2">
      <c r="A115" s="185" t="s">
        <v>89</v>
      </c>
      <c r="B115" s="186" t="s">
        <v>264</v>
      </c>
    </row>
    <row r="116" spans="1:2" ht="15.75" customHeight="1" x14ac:dyDescent="0.2">
      <c r="A116" s="165"/>
      <c r="B116" s="187" t="s">
        <v>265</v>
      </c>
    </row>
    <row r="117" spans="1:2" ht="15.75" customHeight="1" x14ac:dyDescent="0.2">
      <c r="A117" s="188"/>
      <c r="B117" s="189"/>
    </row>
    <row r="118" spans="1:2" ht="15.75" customHeight="1" x14ac:dyDescent="0.2">
      <c r="A118" s="164" t="s">
        <v>73</v>
      </c>
      <c r="B118" s="184"/>
    </row>
    <row r="119" spans="1:2" ht="15.75" customHeight="1" x14ac:dyDescent="0.2">
      <c r="A119" s="164" t="s">
        <v>33</v>
      </c>
      <c r="B119" s="184"/>
    </row>
    <row r="120" spans="1:2" ht="15.75" customHeight="1" x14ac:dyDescent="0.2">
      <c r="A120" s="176" t="s">
        <v>76</v>
      </c>
      <c r="B120" s="172" t="s">
        <v>177</v>
      </c>
    </row>
    <row r="121" spans="1:2" ht="15.75" customHeight="1" x14ac:dyDescent="0.2">
      <c r="A121" s="176" t="s">
        <v>78</v>
      </c>
      <c r="B121" s="172" t="s">
        <v>178</v>
      </c>
    </row>
    <row r="122" spans="1:2" ht="15.75" customHeight="1" x14ac:dyDescent="0.2">
      <c r="A122" s="164" t="s">
        <v>80</v>
      </c>
      <c r="B122" s="184"/>
    </row>
    <row r="123" spans="1:2" ht="15.75" customHeight="1" x14ac:dyDescent="0.2">
      <c r="A123" s="176" t="s">
        <v>76</v>
      </c>
      <c r="B123" s="172" t="s">
        <v>177</v>
      </c>
    </row>
    <row r="124" spans="1:2" ht="15.75" customHeight="1" x14ac:dyDescent="0.2">
      <c r="A124" s="176" t="s">
        <v>78</v>
      </c>
      <c r="B124" s="172" t="s">
        <v>178</v>
      </c>
    </row>
    <row r="125" spans="1:2" ht="15.75" customHeight="1" x14ac:dyDescent="0.2">
      <c r="A125" s="176" t="s">
        <v>86</v>
      </c>
      <c r="B125" s="172" t="s">
        <v>30</v>
      </c>
    </row>
    <row r="126" spans="1:2" ht="15.75" customHeight="1" x14ac:dyDescent="0.2">
      <c r="A126" s="190" t="s">
        <v>88</v>
      </c>
      <c r="B126" s="191" t="s">
        <v>177</v>
      </c>
    </row>
    <row r="127" spans="1:2" ht="15.75" customHeight="1" x14ac:dyDescent="0.2">
      <c r="B127" s="39"/>
    </row>
    <row r="128" spans="1:2" ht="15.75" customHeight="1" x14ac:dyDescent="0.2">
      <c r="B128" s="39"/>
    </row>
    <row r="129" spans="2:2" ht="15.75" customHeight="1" x14ac:dyDescent="0.2">
      <c r="B129" s="39"/>
    </row>
    <row r="130" spans="2:2" ht="15.75" customHeight="1" x14ac:dyDescent="0.2">
      <c r="B130" s="39"/>
    </row>
    <row r="131" spans="2:2" ht="15.75" customHeight="1" x14ac:dyDescent="0.2">
      <c r="B131" s="39"/>
    </row>
    <row r="132" spans="2:2" ht="15.75" customHeight="1" x14ac:dyDescent="0.2">
      <c r="B132" s="39"/>
    </row>
    <row r="133" spans="2:2" ht="15.75" customHeight="1" x14ac:dyDescent="0.2">
      <c r="B133" s="39"/>
    </row>
    <row r="134" spans="2:2" ht="15.75" customHeight="1" x14ac:dyDescent="0.2">
      <c r="B134" s="39"/>
    </row>
    <row r="135" spans="2:2" ht="15.75" customHeight="1" x14ac:dyDescent="0.2">
      <c r="B135" s="39"/>
    </row>
    <row r="136" spans="2:2" ht="15.75" customHeight="1" x14ac:dyDescent="0.2">
      <c r="B136" s="39"/>
    </row>
    <row r="137" spans="2:2" ht="15.75" customHeight="1" x14ac:dyDescent="0.2">
      <c r="B137" s="39"/>
    </row>
    <row r="138" spans="2:2" ht="15.75" customHeight="1" x14ac:dyDescent="0.2">
      <c r="B138" s="39"/>
    </row>
    <row r="139" spans="2:2" ht="15.75" customHeight="1" x14ac:dyDescent="0.2">
      <c r="B139" s="39"/>
    </row>
    <row r="140" spans="2:2" ht="15.75" customHeight="1" x14ac:dyDescent="0.2">
      <c r="B140" s="39"/>
    </row>
    <row r="141" spans="2:2" ht="15.75" customHeight="1" x14ac:dyDescent="0.2">
      <c r="B141" s="39"/>
    </row>
    <row r="142" spans="2:2" ht="15.75" customHeight="1" x14ac:dyDescent="0.2">
      <c r="B142" s="39"/>
    </row>
    <row r="143" spans="2:2" ht="15.75" customHeight="1" x14ac:dyDescent="0.2">
      <c r="B143" s="39"/>
    </row>
    <row r="144" spans="2:2" ht="15.75" customHeight="1" x14ac:dyDescent="0.2">
      <c r="B144" s="39"/>
    </row>
    <row r="145" spans="2:2" ht="15.75" customHeight="1" x14ac:dyDescent="0.2">
      <c r="B145" s="39"/>
    </row>
    <row r="146" spans="2:2" ht="15.75" customHeight="1" x14ac:dyDescent="0.2">
      <c r="B146" s="39"/>
    </row>
    <row r="147" spans="2:2" ht="15.75" customHeight="1" x14ac:dyDescent="0.2">
      <c r="B147" s="39"/>
    </row>
    <row r="148" spans="2:2" ht="15.75" customHeight="1" x14ac:dyDescent="0.2">
      <c r="B148" s="39"/>
    </row>
    <row r="149" spans="2:2" ht="15.75" customHeight="1" x14ac:dyDescent="0.2">
      <c r="B149" s="39"/>
    </row>
    <row r="150" spans="2:2" ht="15.75" customHeight="1" x14ac:dyDescent="0.2">
      <c r="B150" s="39"/>
    </row>
    <row r="151" spans="2:2" ht="15.75" customHeight="1" x14ac:dyDescent="0.2">
      <c r="B151" s="39"/>
    </row>
    <row r="152" spans="2:2" ht="15.75" customHeight="1" x14ac:dyDescent="0.2">
      <c r="B152" s="39"/>
    </row>
    <row r="153" spans="2:2" ht="15.75" customHeight="1" x14ac:dyDescent="0.2">
      <c r="B153" s="39"/>
    </row>
    <row r="154" spans="2:2" ht="15.75" customHeight="1" x14ac:dyDescent="0.2">
      <c r="B154" s="39"/>
    </row>
    <row r="155" spans="2:2" ht="15.75" customHeight="1" x14ac:dyDescent="0.2">
      <c r="B155" s="39"/>
    </row>
    <row r="156" spans="2:2" ht="15.75" customHeight="1" x14ac:dyDescent="0.2">
      <c r="B156" s="39"/>
    </row>
    <row r="157" spans="2:2" ht="15.75" customHeight="1" x14ac:dyDescent="0.2">
      <c r="B157" s="39"/>
    </row>
    <row r="158" spans="2:2" ht="15.75" customHeight="1" x14ac:dyDescent="0.2">
      <c r="B158" s="39"/>
    </row>
    <row r="159" spans="2:2" ht="15.75" customHeight="1" x14ac:dyDescent="0.2">
      <c r="B159" s="39"/>
    </row>
    <row r="160" spans="2:2" ht="15.75" customHeight="1" x14ac:dyDescent="0.2">
      <c r="B160" s="39"/>
    </row>
    <row r="161" spans="2:2" ht="15.75" customHeight="1" x14ac:dyDescent="0.2">
      <c r="B161" s="39"/>
    </row>
    <row r="162" spans="2:2" ht="15.75" customHeight="1" x14ac:dyDescent="0.2">
      <c r="B162" s="39"/>
    </row>
    <row r="163" spans="2:2" ht="15.75" customHeight="1" x14ac:dyDescent="0.2">
      <c r="B163" s="39"/>
    </row>
    <row r="164" spans="2:2" ht="15.75" customHeight="1" x14ac:dyDescent="0.2">
      <c r="B164" s="39"/>
    </row>
    <row r="165" spans="2:2" ht="15.75" customHeight="1" x14ac:dyDescent="0.2">
      <c r="B165" s="39"/>
    </row>
    <row r="166" spans="2:2" ht="15.75" customHeight="1" x14ac:dyDescent="0.2">
      <c r="B166" s="39"/>
    </row>
    <row r="167" spans="2:2" ht="15.75" customHeight="1" x14ac:dyDescent="0.2">
      <c r="B167" s="39"/>
    </row>
    <row r="168" spans="2:2" ht="15.75" customHeight="1" x14ac:dyDescent="0.2">
      <c r="B168" s="39"/>
    </row>
    <row r="169" spans="2:2" ht="15.75" customHeight="1" x14ac:dyDescent="0.2">
      <c r="B169" s="39"/>
    </row>
    <row r="170" spans="2:2" ht="15.75" customHeight="1" x14ac:dyDescent="0.2">
      <c r="B170" s="39"/>
    </row>
    <row r="171" spans="2:2" ht="15.75" customHeight="1" x14ac:dyDescent="0.2">
      <c r="B171" s="39"/>
    </row>
    <row r="172" spans="2:2" ht="15.75" customHeight="1" x14ac:dyDescent="0.2">
      <c r="B172" s="39"/>
    </row>
    <row r="173" spans="2:2" ht="15.75" customHeight="1" x14ac:dyDescent="0.2">
      <c r="B173" s="39"/>
    </row>
    <row r="174" spans="2:2" ht="15.75" customHeight="1" x14ac:dyDescent="0.2">
      <c r="B174" s="39"/>
    </row>
    <row r="175" spans="2:2" ht="15.75" customHeight="1" x14ac:dyDescent="0.2">
      <c r="B175" s="39"/>
    </row>
    <row r="176" spans="2:2" ht="15.75" customHeight="1" x14ac:dyDescent="0.2">
      <c r="B176" s="39"/>
    </row>
    <row r="177" spans="2:2" ht="15.75" customHeight="1" x14ac:dyDescent="0.2">
      <c r="B177" s="39"/>
    </row>
    <row r="178" spans="2:2" ht="15.75" customHeight="1" x14ac:dyDescent="0.2">
      <c r="B178" s="39"/>
    </row>
    <row r="179" spans="2:2" ht="15.75" customHeight="1" x14ac:dyDescent="0.2">
      <c r="B179" s="39"/>
    </row>
    <row r="180" spans="2:2" ht="15.75" customHeight="1" x14ac:dyDescent="0.2">
      <c r="B180" s="39"/>
    </row>
    <row r="181" spans="2:2" ht="15.75" customHeight="1" x14ac:dyDescent="0.2">
      <c r="B181" s="39"/>
    </row>
    <row r="182" spans="2:2" ht="15.75" customHeight="1" x14ac:dyDescent="0.2">
      <c r="B182" s="39"/>
    </row>
    <row r="183" spans="2:2" ht="15.75" customHeight="1" x14ac:dyDescent="0.2">
      <c r="B183" s="39"/>
    </row>
    <row r="184" spans="2:2" ht="15.75" customHeight="1" x14ac:dyDescent="0.2">
      <c r="B184" s="39"/>
    </row>
    <row r="185" spans="2:2" ht="15.75" customHeight="1" x14ac:dyDescent="0.2">
      <c r="B185" s="39"/>
    </row>
    <row r="186" spans="2:2" ht="15.75" customHeight="1" x14ac:dyDescent="0.2">
      <c r="B186" s="39"/>
    </row>
    <row r="187" spans="2:2" ht="15.75" customHeight="1" x14ac:dyDescent="0.2">
      <c r="B187" s="39"/>
    </row>
    <row r="188" spans="2:2" ht="15.75" customHeight="1" x14ac:dyDescent="0.2">
      <c r="B188" s="39"/>
    </row>
    <row r="189" spans="2:2" ht="15.75" customHeight="1" x14ac:dyDescent="0.2">
      <c r="B189" s="39"/>
    </row>
    <row r="190" spans="2:2" ht="15.75" customHeight="1" x14ac:dyDescent="0.2">
      <c r="B190" s="39"/>
    </row>
    <row r="191" spans="2:2" ht="15.75" customHeight="1" x14ac:dyDescent="0.2">
      <c r="B191" s="39"/>
    </row>
    <row r="192" spans="2:2" ht="15.75" customHeight="1" x14ac:dyDescent="0.2">
      <c r="B192" s="39"/>
    </row>
    <row r="193" spans="2:2" ht="15.75" customHeight="1" x14ac:dyDescent="0.2">
      <c r="B193" s="39"/>
    </row>
    <row r="194" spans="2:2" ht="15.75" customHeight="1" x14ac:dyDescent="0.2">
      <c r="B194" s="39"/>
    </row>
    <row r="195" spans="2:2" ht="15.75" customHeight="1" x14ac:dyDescent="0.2">
      <c r="B195" s="39"/>
    </row>
    <row r="196" spans="2:2" ht="15.75" customHeight="1" x14ac:dyDescent="0.2">
      <c r="B196" s="39"/>
    </row>
    <row r="197" spans="2:2" ht="15.75" customHeight="1" x14ac:dyDescent="0.2">
      <c r="B197" s="39"/>
    </row>
    <row r="198" spans="2:2" ht="15.75" customHeight="1" x14ac:dyDescent="0.2">
      <c r="B198" s="39"/>
    </row>
    <row r="199" spans="2:2" ht="15.75" customHeight="1" x14ac:dyDescent="0.2">
      <c r="B199" s="39"/>
    </row>
    <row r="200" spans="2:2" ht="15.75" customHeight="1" x14ac:dyDescent="0.2">
      <c r="B200" s="39"/>
    </row>
    <row r="201" spans="2:2" ht="15.75" customHeight="1" x14ac:dyDescent="0.2">
      <c r="B201" s="39"/>
    </row>
    <row r="202" spans="2:2" ht="15.75" customHeight="1" x14ac:dyDescent="0.2">
      <c r="B202" s="39"/>
    </row>
    <row r="203" spans="2:2" ht="15.75" customHeight="1" x14ac:dyDescent="0.2">
      <c r="B203" s="39"/>
    </row>
    <row r="204" spans="2:2" ht="15.75" customHeight="1" x14ac:dyDescent="0.2">
      <c r="B204" s="39"/>
    </row>
    <row r="205" spans="2:2" ht="15.75" customHeight="1" x14ac:dyDescent="0.2">
      <c r="B205" s="39"/>
    </row>
    <row r="206" spans="2:2" ht="15.75" customHeight="1" x14ac:dyDescent="0.2">
      <c r="B206" s="39"/>
    </row>
    <row r="207" spans="2:2" ht="15.75" customHeight="1" x14ac:dyDescent="0.2">
      <c r="B207" s="39"/>
    </row>
    <row r="208" spans="2:2" ht="15.75" customHeight="1" x14ac:dyDescent="0.2">
      <c r="B208" s="39"/>
    </row>
    <row r="209" spans="2:2" ht="15.75" customHeight="1" x14ac:dyDescent="0.2">
      <c r="B209" s="39"/>
    </row>
    <row r="210" spans="2:2" ht="15.75" customHeight="1" x14ac:dyDescent="0.2">
      <c r="B210" s="39"/>
    </row>
    <row r="211" spans="2:2" ht="15.75" customHeight="1" x14ac:dyDescent="0.2">
      <c r="B211" s="39"/>
    </row>
    <row r="212" spans="2:2" ht="15.75" customHeight="1" x14ac:dyDescent="0.2">
      <c r="B212" s="39"/>
    </row>
    <row r="213" spans="2:2" ht="15.75" customHeight="1" x14ac:dyDescent="0.2">
      <c r="B213" s="39"/>
    </row>
    <row r="214" spans="2:2" ht="15.75" customHeight="1" x14ac:dyDescent="0.2">
      <c r="B214" s="39"/>
    </row>
    <row r="215" spans="2:2" ht="15.75" customHeight="1" x14ac:dyDescent="0.2">
      <c r="B215" s="39"/>
    </row>
    <row r="216" spans="2:2" ht="15.75" customHeight="1" x14ac:dyDescent="0.2">
      <c r="B216" s="39"/>
    </row>
    <row r="217" spans="2:2" ht="15.75" customHeight="1" x14ac:dyDescent="0.2">
      <c r="B217" s="39"/>
    </row>
    <row r="218" spans="2:2" ht="15.75" customHeight="1" x14ac:dyDescent="0.2">
      <c r="B218" s="39"/>
    </row>
    <row r="219" spans="2:2" ht="15.75" customHeight="1" x14ac:dyDescent="0.2">
      <c r="B219" s="39"/>
    </row>
    <row r="220" spans="2:2" ht="15.75" customHeight="1" x14ac:dyDescent="0.2">
      <c r="B220" s="39"/>
    </row>
    <row r="221" spans="2:2" ht="15.75" customHeight="1" x14ac:dyDescent="0.2">
      <c r="B221" s="39"/>
    </row>
    <row r="222" spans="2:2" ht="15.75" customHeight="1" x14ac:dyDescent="0.2">
      <c r="B222" s="39"/>
    </row>
    <row r="223" spans="2:2" ht="15.75" customHeight="1" x14ac:dyDescent="0.2">
      <c r="B223" s="39"/>
    </row>
    <row r="224" spans="2:2" ht="15.75" customHeight="1" x14ac:dyDescent="0.2">
      <c r="B224" s="39"/>
    </row>
    <row r="225" spans="2:2" ht="15.75" customHeight="1" x14ac:dyDescent="0.2">
      <c r="B225" s="39"/>
    </row>
    <row r="226" spans="2:2" ht="15.75" customHeight="1" x14ac:dyDescent="0.2">
      <c r="B226" s="39"/>
    </row>
    <row r="227" spans="2:2" ht="15.75" customHeight="1" x14ac:dyDescent="0.2">
      <c r="B227" s="39"/>
    </row>
    <row r="228" spans="2:2" ht="15.75" customHeight="1" x14ac:dyDescent="0.2">
      <c r="B228" s="39"/>
    </row>
    <row r="229" spans="2:2" ht="15.75" customHeight="1" x14ac:dyDescent="0.2">
      <c r="B229" s="39"/>
    </row>
    <row r="230" spans="2:2" ht="15.75" customHeight="1" x14ac:dyDescent="0.2">
      <c r="B230" s="39"/>
    </row>
    <row r="231" spans="2:2" ht="15.75" customHeight="1" x14ac:dyDescent="0.2">
      <c r="B231" s="39"/>
    </row>
    <row r="232" spans="2:2" ht="15.75" customHeight="1" x14ac:dyDescent="0.2">
      <c r="B232" s="39"/>
    </row>
    <row r="233" spans="2:2" ht="15.75" customHeight="1" x14ac:dyDescent="0.2">
      <c r="B233" s="39"/>
    </row>
    <row r="234" spans="2:2" ht="15.75" customHeight="1" x14ac:dyDescent="0.2">
      <c r="B234" s="39"/>
    </row>
    <row r="235" spans="2:2" ht="15.75" customHeight="1" x14ac:dyDescent="0.2">
      <c r="B235" s="39"/>
    </row>
    <row r="236" spans="2:2" ht="15.75" customHeight="1" x14ac:dyDescent="0.2">
      <c r="B236" s="39"/>
    </row>
    <row r="237" spans="2:2" ht="15.75" customHeight="1" x14ac:dyDescent="0.2">
      <c r="B237" s="39"/>
    </row>
    <row r="238" spans="2:2" ht="15.75" customHeight="1" x14ac:dyDescent="0.2">
      <c r="B238" s="39"/>
    </row>
    <row r="239" spans="2:2" ht="15.75" customHeight="1" x14ac:dyDescent="0.2">
      <c r="B239" s="39"/>
    </row>
    <row r="240" spans="2:2" ht="15.75" customHeight="1" x14ac:dyDescent="0.2">
      <c r="B240" s="39"/>
    </row>
    <row r="241" spans="2:2" ht="15.75" customHeight="1" x14ac:dyDescent="0.2">
      <c r="B241" s="39"/>
    </row>
    <row r="242" spans="2:2" ht="15.75" customHeight="1" x14ac:dyDescent="0.2">
      <c r="B242" s="39"/>
    </row>
    <row r="243" spans="2:2" ht="15.75" customHeight="1" x14ac:dyDescent="0.2">
      <c r="B243" s="39"/>
    </row>
    <row r="244" spans="2:2" ht="15.75" customHeight="1" x14ac:dyDescent="0.2">
      <c r="B244" s="39"/>
    </row>
    <row r="245" spans="2:2" ht="15.75" customHeight="1" x14ac:dyDescent="0.2">
      <c r="B245" s="39"/>
    </row>
    <row r="246" spans="2:2" ht="15.75" customHeight="1" x14ac:dyDescent="0.2">
      <c r="B246" s="39"/>
    </row>
    <row r="247" spans="2:2" ht="15.75" customHeight="1" x14ac:dyDescent="0.2">
      <c r="B247" s="39"/>
    </row>
    <row r="248" spans="2:2" ht="15.75" customHeight="1" x14ac:dyDescent="0.2">
      <c r="B248" s="39"/>
    </row>
    <row r="249" spans="2:2" ht="15.75" customHeight="1" x14ac:dyDescent="0.2">
      <c r="B249" s="39"/>
    </row>
    <row r="250" spans="2:2" ht="15.75" customHeight="1" x14ac:dyDescent="0.2">
      <c r="B250" s="39"/>
    </row>
    <row r="251" spans="2:2" ht="15.75" customHeight="1" x14ac:dyDescent="0.2">
      <c r="B251" s="39"/>
    </row>
    <row r="252" spans="2:2" ht="15.75" customHeight="1" x14ac:dyDescent="0.2">
      <c r="B252" s="39"/>
    </row>
    <row r="253" spans="2:2" ht="15.75" customHeight="1" x14ac:dyDescent="0.2">
      <c r="B253" s="39"/>
    </row>
    <row r="254" spans="2:2" ht="15.75" customHeight="1" x14ac:dyDescent="0.2">
      <c r="B254" s="39"/>
    </row>
    <row r="255" spans="2:2" ht="15.75" customHeight="1" x14ac:dyDescent="0.2">
      <c r="B255" s="39"/>
    </row>
    <row r="256" spans="2:2" ht="15.75" customHeight="1" x14ac:dyDescent="0.2">
      <c r="B256" s="39"/>
    </row>
    <row r="257" spans="2:2" ht="15.75" customHeight="1" x14ac:dyDescent="0.2">
      <c r="B257" s="39"/>
    </row>
    <row r="258" spans="2:2" ht="15.75" customHeight="1" x14ac:dyDescent="0.2">
      <c r="B258" s="39"/>
    </row>
    <row r="259" spans="2:2" ht="15.75" customHeight="1" x14ac:dyDescent="0.2">
      <c r="B259" s="39"/>
    </row>
    <row r="260" spans="2:2" ht="15.75" customHeight="1" x14ac:dyDescent="0.2">
      <c r="B260" s="39"/>
    </row>
    <row r="261" spans="2:2" ht="15.75" customHeight="1" x14ac:dyDescent="0.2">
      <c r="B261" s="39"/>
    </row>
    <row r="262" spans="2:2" ht="15.75" customHeight="1" x14ac:dyDescent="0.2">
      <c r="B262" s="39"/>
    </row>
    <row r="263" spans="2:2" ht="15.75" customHeight="1" x14ac:dyDescent="0.2">
      <c r="B263" s="39"/>
    </row>
    <row r="264" spans="2:2" ht="15.75" customHeight="1" x14ac:dyDescent="0.2">
      <c r="B264" s="39"/>
    </row>
    <row r="265" spans="2:2" ht="15.75" customHeight="1" x14ac:dyDescent="0.2">
      <c r="B265" s="39"/>
    </row>
    <row r="266" spans="2:2" ht="15.75" customHeight="1" x14ac:dyDescent="0.2">
      <c r="B266" s="39"/>
    </row>
    <row r="267" spans="2:2" ht="15.75" customHeight="1" x14ac:dyDescent="0.2">
      <c r="B267" s="39"/>
    </row>
    <row r="268" spans="2:2" ht="15.75" customHeight="1" x14ac:dyDescent="0.2">
      <c r="B268" s="39"/>
    </row>
    <row r="269" spans="2:2" ht="15.75" customHeight="1" x14ac:dyDescent="0.2">
      <c r="B269" s="39"/>
    </row>
    <row r="270" spans="2:2" ht="15.75" customHeight="1" x14ac:dyDescent="0.2">
      <c r="B270" s="39"/>
    </row>
    <row r="271" spans="2:2" ht="15.75" customHeight="1" x14ac:dyDescent="0.2">
      <c r="B271" s="39"/>
    </row>
    <row r="272" spans="2:2" ht="15.75" customHeight="1" x14ac:dyDescent="0.2">
      <c r="B272" s="39"/>
    </row>
    <row r="273" spans="2:2" ht="15.75" customHeight="1" x14ac:dyDescent="0.2">
      <c r="B273" s="39"/>
    </row>
    <row r="274" spans="2:2" ht="15.75" customHeight="1" x14ac:dyDescent="0.2">
      <c r="B274" s="39"/>
    </row>
    <row r="275" spans="2:2" ht="15.75" customHeight="1" x14ac:dyDescent="0.2">
      <c r="B275" s="39"/>
    </row>
    <row r="276" spans="2:2" ht="15.75" customHeight="1" x14ac:dyDescent="0.2">
      <c r="B276" s="39"/>
    </row>
    <row r="277" spans="2:2" ht="15.75" customHeight="1" x14ac:dyDescent="0.2">
      <c r="B277" s="39"/>
    </row>
    <row r="278" spans="2:2" ht="15.75" customHeight="1" x14ac:dyDescent="0.2">
      <c r="B278" s="39"/>
    </row>
    <row r="279" spans="2:2" ht="15.75" customHeight="1" x14ac:dyDescent="0.2">
      <c r="B279" s="39"/>
    </row>
    <row r="280" spans="2:2" ht="15.75" customHeight="1" x14ac:dyDescent="0.2">
      <c r="B280" s="39"/>
    </row>
    <row r="281" spans="2:2" ht="15.75" customHeight="1" x14ac:dyDescent="0.2">
      <c r="B281" s="39"/>
    </row>
    <row r="282" spans="2:2" ht="15.75" customHeight="1" x14ac:dyDescent="0.2">
      <c r="B282" s="39"/>
    </row>
    <row r="283" spans="2:2" ht="15.75" customHeight="1" x14ac:dyDescent="0.2">
      <c r="B283" s="39"/>
    </row>
    <row r="284" spans="2:2" ht="15.75" customHeight="1" x14ac:dyDescent="0.2">
      <c r="B284" s="39"/>
    </row>
    <row r="285" spans="2:2" ht="15.75" customHeight="1" x14ac:dyDescent="0.2">
      <c r="B285" s="39"/>
    </row>
    <row r="286" spans="2:2" ht="15.75" customHeight="1" x14ac:dyDescent="0.2">
      <c r="B286" s="39"/>
    </row>
    <row r="287" spans="2:2" ht="15.75" customHeight="1" x14ac:dyDescent="0.2">
      <c r="B287" s="39"/>
    </row>
    <row r="288" spans="2:2" ht="15.75" customHeight="1" x14ac:dyDescent="0.2">
      <c r="B288" s="39"/>
    </row>
    <row r="289" spans="2:2" ht="15.75" customHeight="1" x14ac:dyDescent="0.2">
      <c r="B289" s="39"/>
    </row>
    <row r="290" spans="2:2" ht="15.75" customHeight="1" x14ac:dyDescent="0.2">
      <c r="B290" s="39"/>
    </row>
    <row r="291" spans="2:2" ht="15.75" customHeight="1" x14ac:dyDescent="0.2">
      <c r="B291" s="39"/>
    </row>
    <row r="292" spans="2:2" ht="15.75" customHeight="1" x14ac:dyDescent="0.2">
      <c r="B292" s="39"/>
    </row>
    <row r="293" spans="2:2" ht="15.75" customHeight="1" x14ac:dyDescent="0.2">
      <c r="B293" s="39"/>
    </row>
    <row r="294" spans="2:2" ht="15.75" customHeight="1" x14ac:dyDescent="0.2">
      <c r="B294" s="39"/>
    </row>
    <row r="295" spans="2:2" ht="15.75" customHeight="1" x14ac:dyDescent="0.2">
      <c r="B295" s="39"/>
    </row>
    <row r="296" spans="2:2" ht="15.75" customHeight="1" x14ac:dyDescent="0.2">
      <c r="B296" s="39"/>
    </row>
    <row r="297" spans="2:2" ht="15.75" customHeight="1" x14ac:dyDescent="0.2">
      <c r="B297" s="39"/>
    </row>
    <row r="298" spans="2:2" ht="15.75" customHeight="1" x14ac:dyDescent="0.2">
      <c r="B298" s="39"/>
    </row>
    <row r="299" spans="2:2" ht="15.75" customHeight="1" x14ac:dyDescent="0.2">
      <c r="B299" s="39"/>
    </row>
    <row r="300" spans="2:2" ht="15.75" customHeight="1" x14ac:dyDescent="0.2">
      <c r="B300" s="39"/>
    </row>
    <row r="301" spans="2:2" ht="15.75" customHeight="1" x14ac:dyDescent="0.2">
      <c r="B301" s="39"/>
    </row>
    <row r="302" spans="2:2" ht="15.75" customHeight="1" x14ac:dyDescent="0.2">
      <c r="B302" s="39"/>
    </row>
    <row r="303" spans="2:2" ht="15.75" customHeight="1" x14ac:dyDescent="0.2">
      <c r="B303" s="39"/>
    </row>
    <row r="304" spans="2:2" ht="15.75" customHeight="1" x14ac:dyDescent="0.2">
      <c r="B304" s="39"/>
    </row>
    <row r="305" spans="2:2" ht="15.75" customHeight="1" x14ac:dyDescent="0.2">
      <c r="B305" s="39"/>
    </row>
    <row r="306" spans="2:2" ht="15.75" customHeight="1" x14ac:dyDescent="0.2">
      <c r="B306" s="39"/>
    </row>
    <row r="307" spans="2:2" ht="15.75" customHeight="1" x14ac:dyDescent="0.2">
      <c r="B307" s="39"/>
    </row>
    <row r="308" spans="2:2" ht="15.75" customHeight="1" x14ac:dyDescent="0.2">
      <c r="B308" s="39"/>
    </row>
    <row r="309" spans="2:2" ht="15.75" customHeight="1" x14ac:dyDescent="0.2">
      <c r="B309" s="39"/>
    </row>
    <row r="310" spans="2:2" ht="15.75" customHeight="1" x14ac:dyDescent="0.2">
      <c r="B310" s="39"/>
    </row>
    <row r="311" spans="2:2" ht="15.75" customHeight="1" x14ac:dyDescent="0.2">
      <c r="B311" s="39"/>
    </row>
    <row r="312" spans="2:2" ht="15.75" customHeight="1" x14ac:dyDescent="0.2">
      <c r="B312" s="39"/>
    </row>
    <row r="313" spans="2:2" ht="15.75" customHeight="1" x14ac:dyDescent="0.2">
      <c r="B313" s="39"/>
    </row>
    <row r="314" spans="2:2" ht="15.75" customHeight="1" x14ac:dyDescent="0.2">
      <c r="B314" s="39"/>
    </row>
    <row r="315" spans="2:2" ht="15.75" customHeight="1" x14ac:dyDescent="0.2">
      <c r="B315" s="39"/>
    </row>
    <row r="316" spans="2:2" ht="15.75" customHeight="1" x14ac:dyDescent="0.2">
      <c r="B316" s="39"/>
    </row>
    <row r="317" spans="2:2" ht="15.75" customHeight="1" x14ac:dyDescent="0.2">
      <c r="B317" s="39"/>
    </row>
    <row r="318" spans="2:2" ht="15.75" customHeight="1" x14ac:dyDescent="0.2">
      <c r="B318" s="39"/>
    </row>
    <row r="319" spans="2:2" ht="15.75" customHeight="1" x14ac:dyDescent="0.2">
      <c r="B319" s="39"/>
    </row>
    <row r="320" spans="2:2" ht="15.75" customHeight="1" x14ac:dyDescent="0.2">
      <c r="B320" s="39"/>
    </row>
    <row r="321" spans="2:2" ht="15.75" customHeight="1" x14ac:dyDescent="0.2">
      <c r="B321" s="39"/>
    </row>
    <row r="322" spans="2:2" ht="15.75" customHeight="1" x14ac:dyDescent="0.2">
      <c r="B322" s="39"/>
    </row>
    <row r="323" spans="2:2" ht="15.75" customHeight="1" x14ac:dyDescent="0.2">
      <c r="B323" s="39"/>
    </row>
    <row r="324" spans="2:2" ht="15.75" customHeight="1" x14ac:dyDescent="0.2">
      <c r="B324" s="39"/>
    </row>
    <row r="325" spans="2:2" ht="15.75" customHeight="1" x14ac:dyDescent="0.2">
      <c r="B325" s="39"/>
    </row>
    <row r="326" spans="2:2" ht="15.75" customHeight="1" x14ac:dyDescent="0.2">
      <c r="B326" s="39"/>
    </row>
    <row r="327" spans="2:2" ht="15.75" customHeight="1" x14ac:dyDescent="0.2">
      <c r="B327" s="39"/>
    </row>
    <row r="328" spans="2:2" ht="15.75" customHeight="1" x14ac:dyDescent="0.2">
      <c r="B328" s="39"/>
    </row>
    <row r="329" spans="2:2" ht="15.75" customHeight="1" x14ac:dyDescent="0.2">
      <c r="B329" s="39"/>
    </row>
    <row r="330" spans="2:2" ht="15.75" customHeight="1" x14ac:dyDescent="0.2">
      <c r="B330" s="39"/>
    </row>
    <row r="331" spans="2:2" ht="15.75" customHeight="1" x14ac:dyDescent="0.2">
      <c r="B331" s="39"/>
    </row>
    <row r="332" spans="2:2" ht="15.75" customHeight="1" x14ac:dyDescent="0.2">
      <c r="B332" s="39"/>
    </row>
    <row r="333" spans="2:2" ht="15.75" customHeight="1" x14ac:dyDescent="0.2">
      <c r="B333" s="39"/>
    </row>
    <row r="334" spans="2:2" ht="15.75" customHeight="1" x14ac:dyDescent="0.2">
      <c r="B334" s="39"/>
    </row>
    <row r="335" spans="2:2" ht="15.75" customHeight="1" x14ac:dyDescent="0.2">
      <c r="B335" s="39"/>
    </row>
    <row r="336" spans="2:2" ht="15.75" customHeight="1" x14ac:dyDescent="0.2">
      <c r="B336" s="39"/>
    </row>
    <row r="337" spans="2:2" ht="15.75" customHeight="1" x14ac:dyDescent="0.2">
      <c r="B337" s="39"/>
    </row>
    <row r="338" spans="2:2" ht="15.75" customHeight="1" x14ac:dyDescent="0.2">
      <c r="B338" s="39"/>
    </row>
    <row r="339" spans="2:2" ht="15.75" customHeight="1" x14ac:dyDescent="0.2">
      <c r="B339" s="39"/>
    </row>
    <row r="340" spans="2:2" ht="15.75" customHeight="1" x14ac:dyDescent="0.2">
      <c r="B340" s="39"/>
    </row>
    <row r="341" spans="2:2" ht="15.75" customHeight="1" x14ac:dyDescent="0.2">
      <c r="B341" s="39"/>
    </row>
    <row r="342" spans="2:2" ht="15.75" customHeight="1" x14ac:dyDescent="0.2">
      <c r="B342" s="39"/>
    </row>
    <row r="343" spans="2:2" ht="15.75" customHeight="1" x14ac:dyDescent="0.2">
      <c r="B343" s="39"/>
    </row>
    <row r="344" spans="2:2" ht="15.75" customHeight="1" x14ac:dyDescent="0.2">
      <c r="B344" s="39"/>
    </row>
    <row r="345" spans="2:2" ht="15.75" customHeight="1" x14ac:dyDescent="0.2">
      <c r="B345" s="39"/>
    </row>
    <row r="346" spans="2:2" ht="15.75" customHeight="1" x14ac:dyDescent="0.2">
      <c r="B346" s="39"/>
    </row>
    <row r="347" spans="2:2" ht="15.75" customHeight="1" x14ac:dyDescent="0.2">
      <c r="B347" s="39"/>
    </row>
    <row r="348" spans="2:2" ht="15.75" customHeight="1" x14ac:dyDescent="0.2">
      <c r="B348" s="39"/>
    </row>
    <row r="349" spans="2:2" ht="15.75" customHeight="1" x14ac:dyDescent="0.2">
      <c r="B349" s="39"/>
    </row>
    <row r="350" spans="2:2" ht="15.75" customHeight="1" x14ac:dyDescent="0.2">
      <c r="B350" s="39"/>
    </row>
    <row r="351" spans="2:2" ht="15.75" customHeight="1" x14ac:dyDescent="0.2">
      <c r="B351" s="39"/>
    </row>
    <row r="352" spans="2:2" ht="15.75" customHeight="1" x14ac:dyDescent="0.2">
      <c r="B352" s="39"/>
    </row>
    <row r="353" spans="2:2" ht="15.75" customHeight="1" x14ac:dyDescent="0.2">
      <c r="B353" s="39"/>
    </row>
    <row r="354" spans="2:2" ht="15.75" customHeight="1" x14ac:dyDescent="0.2">
      <c r="B354" s="39"/>
    </row>
    <row r="355" spans="2:2" ht="15.75" customHeight="1" x14ac:dyDescent="0.2">
      <c r="B355" s="39"/>
    </row>
    <row r="356" spans="2:2" ht="15.75" customHeight="1" x14ac:dyDescent="0.2">
      <c r="B356" s="39"/>
    </row>
    <row r="357" spans="2:2" ht="15.75" customHeight="1" x14ac:dyDescent="0.2">
      <c r="B357" s="39"/>
    </row>
    <row r="358" spans="2:2" ht="15.75" customHeight="1" x14ac:dyDescent="0.2">
      <c r="B358" s="39"/>
    </row>
    <row r="359" spans="2:2" ht="15.75" customHeight="1" x14ac:dyDescent="0.2">
      <c r="B359" s="39"/>
    </row>
    <row r="360" spans="2:2" ht="15.75" customHeight="1" x14ac:dyDescent="0.2">
      <c r="B360" s="39"/>
    </row>
    <row r="361" spans="2:2" ht="15.75" customHeight="1" x14ac:dyDescent="0.2">
      <c r="B361" s="39"/>
    </row>
    <row r="362" spans="2:2" ht="15.75" customHeight="1" x14ac:dyDescent="0.2">
      <c r="B362" s="39"/>
    </row>
    <row r="363" spans="2:2" ht="15.75" customHeight="1" x14ac:dyDescent="0.2">
      <c r="B363" s="39"/>
    </row>
    <row r="364" spans="2:2" ht="15.75" customHeight="1" x14ac:dyDescent="0.2">
      <c r="B364" s="39"/>
    </row>
    <row r="365" spans="2:2" ht="15.75" customHeight="1" x14ac:dyDescent="0.2">
      <c r="B365" s="39"/>
    </row>
    <row r="366" spans="2:2" ht="15.75" customHeight="1" x14ac:dyDescent="0.2">
      <c r="B366" s="39"/>
    </row>
    <row r="367" spans="2:2" ht="15.75" customHeight="1" x14ac:dyDescent="0.2">
      <c r="B367" s="39"/>
    </row>
    <row r="368" spans="2:2" ht="15.75" customHeight="1" x14ac:dyDescent="0.2">
      <c r="B368" s="39"/>
    </row>
    <row r="369" spans="2:2" ht="15.75" customHeight="1" x14ac:dyDescent="0.2">
      <c r="B369" s="39"/>
    </row>
    <row r="370" spans="2:2" ht="15.75" customHeight="1" x14ac:dyDescent="0.2">
      <c r="B370" s="39"/>
    </row>
    <row r="371" spans="2:2" ht="15.75" customHeight="1" x14ac:dyDescent="0.2">
      <c r="B371" s="39"/>
    </row>
    <row r="372" spans="2:2" ht="15.75" customHeight="1" x14ac:dyDescent="0.2">
      <c r="B372" s="39"/>
    </row>
    <row r="373" spans="2:2" ht="15.75" customHeight="1" x14ac:dyDescent="0.2">
      <c r="B373" s="39"/>
    </row>
    <row r="374" spans="2:2" ht="15.75" customHeight="1" x14ac:dyDescent="0.2">
      <c r="B374" s="39"/>
    </row>
    <row r="375" spans="2:2" ht="15.75" customHeight="1" x14ac:dyDescent="0.2">
      <c r="B375" s="39"/>
    </row>
    <row r="376" spans="2:2" ht="15.75" customHeight="1" x14ac:dyDescent="0.2">
      <c r="B376" s="39"/>
    </row>
    <row r="377" spans="2:2" ht="15.75" customHeight="1" x14ac:dyDescent="0.2">
      <c r="B377" s="39"/>
    </row>
    <row r="378" spans="2:2" ht="15.75" customHeight="1" x14ac:dyDescent="0.2">
      <c r="B378" s="39"/>
    </row>
    <row r="379" spans="2:2" ht="15.75" customHeight="1" x14ac:dyDescent="0.2">
      <c r="B379" s="39"/>
    </row>
    <row r="380" spans="2:2" ht="15.75" customHeight="1" x14ac:dyDescent="0.2">
      <c r="B380" s="39"/>
    </row>
    <row r="381" spans="2:2" ht="15.75" customHeight="1" x14ac:dyDescent="0.2">
      <c r="B381" s="39"/>
    </row>
    <row r="382" spans="2:2" ht="15.75" customHeight="1" x14ac:dyDescent="0.2">
      <c r="B382" s="39"/>
    </row>
    <row r="383" spans="2:2" ht="15.75" customHeight="1" x14ac:dyDescent="0.2">
      <c r="B383" s="39"/>
    </row>
    <row r="384" spans="2:2" ht="15.75" customHeight="1" x14ac:dyDescent="0.2">
      <c r="B384" s="39"/>
    </row>
    <row r="385" spans="2:2" ht="15.75" customHeight="1" x14ac:dyDescent="0.2">
      <c r="B385" s="39"/>
    </row>
    <row r="386" spans="2:2" ht="15.75" customHeight="1" x14ac:dyDescent="0.2">
      <c r="B386" s="39"/>
    </row>
    <row r="387" spans="2:2" ht="15.75" customHeight="1" x14ac:dyDescent="0.2">
      <c r="B387" s="39"/>
    </row>
    <row r="388" spans="2:2" ht="15.75" customHeight="1" x14ac:dyDescent="0.2">
      <c r="B388" s="39"/>
    </row>
    <row r="389" spans="2:2" ht="15.75" customHeight="1" x14ac:dyDescent="0.2">
      <c r="B389" s="39"/>
    </row>
    <row r="390" spans="2:2" ht="15.75" customHeight="1" x14ac:dyDescent="0.2">
      <c r="B390" s="39"/>
    </row>
    <row r="391" spans="2:2" ht="15.75" customHeight="1" x14ac:dyDescent="0.2">
      <c r="B391" s="39"/>
    </row>
    <row r="392" spans="2:2" ht="15.75" customHeight="1" x14ac:dyDescent="0.2">
      <c r="B392" s="39"/>
    </row>
    <row r="393" spans="2:2" ht="15.75" customHeight="1" x14ac:dyDescent="0.2">
      <c r="B393" s="39"/>
    </row>
    <row r="394" spans="2:2" ht="15.75" customHeight="1" x14ac:dyDescent="0.2">
      <c r="B394" s="39"/>
    </row>
    <row r="395" spans="2:2" ht="15.75" customHeight="1" x14ac:dyDescent="0.2">
      <c r="B395" s="39"/>
    </row>
    <row r="396" spans="2:2" ht="15.75" customHeight="1" x14ac:dyDescent="0.2">
      <c r="B396" s="39"/>
    </row>
    <row r="397" spans="2:2" ht="15.75" customHeight="1" x14ac:dyDescent="0.2">
      <c r="B397" s="39"/>
    </row>
    <row r="398" spans="2:2" ht="15.75" customHeight="1" x14ac:dyDescent="0.2">
      <c r="B398" s="39"/>
    </row>
    <row r="399" spans="2:2" ht="15.75" customHeight="1" x14ac:dyDescent="0.2">
      <c r="B399" s="39"/>
    </row>
    <row r="400" spans="2:2" ht="15.75" customHeight="1" x14ac:dyDescent="0.2">
      <c r="B400" s="39"/>
    </row>
    <row r="401" spans="2:2" ht="15.75" customHeight="1" x14ac:dyDescent="0.2">
      <c r="B401" s="39"/>
    </row>
    <row r="402" spans="2:2" ht="15.75" customHeight="1" x14ac:dyDescent="0.2">
      <c r="B402" s="39"/>
    </row>
    <row r="403" spans="2:2" ht="15.75" customHeight="1" x14ac:dyDescent="0.2">
      <c r="B403" s="39"/>
    </row>
    <row r="404" spans="2:2" ht="15.75" customHeight="1" x14ac:dyDescent="0.2">
      <c r="B404" s="39"/>
    </row>
    <row r="405" spans="2:2" ht="15.75" customHeight="1" x14ac:dyDescent="0.2">
      <c r="B405" s="39"/>
    </row>
    <row r="406" spans="2:2" ht="15.75" customHeight="1" x14ac:dyDescent="0.2">
      <c r="B406" s="39"/>
    </row>
    <row r="407" spans="2:2" ht="15.75" customHeight="1" x14ac:dyDescent="0.2">
      <c r="B407" s="39"/>
    </row>
    <row r="408" spans="2:2" ht="15.75" customHeight="1" x14ac:dyDescent="0.2">
      <c r="B408" s="39"/>
    </row>
    <row r="409" spans="2:2" ht="15.75" customHeight="1" x14ac:dyDescent="0.2">
      <c r="B409" s="39"/>
    </row>
    <row r="410" spans="2:2" ht="15.75" customHeight="1" x14ac:dyDescent="0.2">
      <c r="B410" s="39"/>
    </row>
    <row r="411" spans="2:2" ht="15.75" customHeight="1" x14ac:dyDescent="0.2">
      <c r="B411" s="39"/>
    </row>
    <row r="412" spans="2:2" ht="15.75" customHeight="1" x14ac:dyDescent="0.2">
      <c r="B412" s="39"/>
    </row>
    <row r="413" spans="2:2" ht="15.75" customHeight="1" x14ac:dyDescent="0.2">
      <c r="B413" s="39"/>
    </row>
    <row r="414" spans="2:2" ht="15.75" customHeight="1" x14ac:dyDescent="0.2">
      <c r="B414" s="39"/>
    </row>
    <row r="415" spans="2:2" ht="15.75" customHeight="1" x14ac:dyDescent="0.2">
      <c r="B415" s="39"/>
    </row>
    <row r="416" spans="2:2" ht="15.75" customHeight="1" x14ac:dyDescent="0.2">
      <c r="B416" s="39"/>
    </row>
    <row r="417" spans="2:2" ht="15.75" customHeight="1" x14ac:dyDescent="0.2">
      <c r="B417" s="39"/>
    </row>
    <row r="418" spans="2:2" ht="15.75" customHeight="1" x14ac:dyDescent="0.2">
      <c r="B418" s="39"/>
    </row>
    <row r="419" spans="2:2" ht="15.75" customHeight="1" x14ac:dyDescent="0.2">
      <c r="B419" s="39"/>
    </row>
    <row r="420" spans="2:2" ht="15.75" customHeight="1" x14ac:dyDescent="0.2">
      <c r="B420" s="39"/>
    </row>
    <row r="421" spans="2:2" ht="15.75" customHeight="1" x14ac:dyDescent="0.2">
      <c r="B421" s="39"/>
    </row>
    <row r="422" spans="2:2" ht="15.75" customHeight="1" x14ac:dyDescent="0.2">
      <c r="B422" s="39"/>
    </row>
    <row r="423" spans="2:2" ht="15.75" customHeight="1" x14ac:dyDescent="0.2">
      <c r="B423" s="39"/>
    </row>
    <row r="424" spans="2:2" ht="15.75" customHeight="1" x14ac:dyDescent="0.2">
      <c r="B424" s="39"/>
    </row>
    <row r="425" spans="2:2" ht="15.75" customHeight="1" x14ac:dyDescent="0.2">
      <c r="B425" s="39"/>
    </row>
    <row r="426" spans="2:2" ht="15.75" customHeight="1" x14ac:dyDescent="0.2">
      <c r="B426" s="39"/>
    </row>
    <row r="427" spans="2:2" ht="15.75" customHeight="1" x14ac:dyDescent="0.2">
      <c r="B427" s="39"/>
    </row>
    <row r="428" spans="2:2" ht="15.75" customHeight="1" x14ac:dyDescent="0.2">
      <c r="B428" s="39"/>
    </row>
    <row r="429" spans="2:2" ht="15.75" customHeight="1" x14ac:dyDescent="0.2">
      <c r="B429" s="39"/>
    </row>
    <row r="430" spans="2:2" ht="15.75" customHeight="1" x14ac:dyDescent="0.2">
      <c r="B430" s="39"/>
    </row>
    <row r="431" spans="2:2" ht="15.75" customHeight="1" x14ac:dyDescent="0.2">
      <c r="B431" s="39"/>
    </row>
    <row r="432" spans="2:2" ht="15.75" customHeight="1" x14ac:dyDescent="0.2">
      <c r="B432" s="39"/>
    </row>
    <row r="433" spans="2:2" ht="15.75" customHeight="1" x14ac:dyDescent="0.2">
      <c r="B433" s="39"/>
    </row>
    <row r="434" spans="2:2" ht="15.75" customHeight="1" x14ac:dyDescent="0.2">
      <c r="B434" s="39"/>
    </row>
    <row r="435" spans="2:2" ht="15.75" customHeight="1" x14ac:dyDescent="0.2">
      <c r="B435" s="39"/>
    </row>
    <row r="436" spans="2:2" ht="15.75" customHeight="1" x14ac:dyDescent="0.2">
      <c r="B436" s="39"/>
    </row>
    <row r="437" spans="2:2" ht="15.75" customHeight="1" x14ac:dyDescent="0.2">
      <c r="B437" s="39"/>
    </row>
    <row r="438" spans="2:2" ht="15.75" customHeight="1" x14ac:dyDescent="0.2">
      <c r="B438" s="39"/>
    </row>
    <row r="439" spans="2:2" ht="15.75" customHeight="1" x14ac:dyDescent="0.2">
      <c r="B439" s="39"/>
    </row>
    <row r="440" spans="2:2" ht="15.75" customHeight="1" x14ac:dyDescent="0.2">
      <c r="B440" s="39"/>
    </row>
    <row r="441" spans="2:2" ht="15.75" customHeight="1" x14ac:dyDescent="0.2">
      <c r="B441" s="39"/>
    </row>
    <row r="442" spans="2:2" ht="15.75" customHeight="1" x14ac:dyDescent="0.2">
      <c r="B442" s="39"/>
    </row>
    <row r="443" spans="2:2" ht="15.75" customHeight="1" x14ac:dyDescent="0.2">
      <c r="B443" s="39"/>
    </row>
    <row r="444" spans="2:2" ht="15.75" customHeight="1" x14ac:dyDescent="0.2">
      <c r="B444" s="39"/>
    </row>
    <row r="445" spans="2:2" ht="15.75" customHeight="1" x14ac:dyDescent="0.2">
      <c r="B445" s="39"/>
    </row>
    <row r="446" spans="2:2" ht="15.75" customHeight="1" x14ac:dyDescent="0.2">
      <c r="B446" s="39"/>
    </row>
    <row r="447" spans="2:2" ht="15.75" customHeight="1" x14ac:dyDescent="0.2">
      <c r="B447" s="39"/>
    </row>
    <row r="448" spans="2:2" ht="15.75" customHeight="1" x14ac:dyDescent="0.2">
      <c r="B448" s="39"/>
    </row>
    <row r="449" spans="2:2" ht="15.75" customHeight="1" x14ac:dyDescent="0.2">
      <c r="B449" s="39"/>
    </row>
    <row r="450" spans="2:2" ht="15.75" customHeight="1" x14ac:dyDescent="0.2">
      <c r="B450" s="39"/>
    </row>
    <row r="451" spans="2:2" ht="15.75" customHeight="1" x14ac:dyDescent="0.2">
      <c r="B451" s="39"/>
    </row>
    <row r="452" spans="2:2" ht="15.75" customHeight="1" x14ac:dyDescent="0.2">
      <c r="B452" s="39"/>
    </row>
    <row r="453" spans="2:2" ht="15.75" customHeight="1" x14ac:dyDescent="0.2">
      <c r="B453" s="39"/>
    </row>
    <row r="454" spans="2:2" ht="15.75" customHeight="1" x14ac:dyDescent="0.2">
      <c r="B454" s="39"/>
    </row>
    <row r="455" spans="2:2" ht="15.75" customHeight="1" x14ac:dyDescent="0.2">
      <c r="B455" s="39"/>
    </row>
    <row r="456" spans="2:2" ht="15.75" customHeight="1" x14ac:dyDescent="0.2">
      <c r="B456" s="39"/>
    </row>
    <row r="457" spans="2:2" ht="15.75" customHeight="1" x14ac:dyDescent="0.2">
      <c r="B457" s="39"/>
    </row>
    <row r="458" spans="2:2" ht="15.75" customHeight="1" x14ac:dyDescent="0.2">
      <c r="B458" s="39"/>
    </row>
    <row r="459" spans="2:2" ht="15.75" customHeight="1" x14ac:dyDescent="0.2">
      <c r="B459" s="39"/>
    </row>
    <row r="460" spans="2:2" ht="15.75" customHeight="1" x14ac:dyDescent="0.2">
      <c r="B460" s="39"/>
    </row>
    <row r="461" spans="2:2" ht="15.75" customHeight="1" x14ac:dyDescent="0.2">
      <c r="B461" s="39"/>
    </row>
    <row r="462" spans="2:2" ht="15.75" customHeight="1" x14ac:dyDescent="0.2">
      <c r="B462" s="39"/>
    </row>
    <row r="463" spans="2:2" ht="15.75" customHeight="1" x14ac:dyDescent="0.2">
      <c r="B463" s="39"/>
    </row>
    <row r="464" spans="2:2" ht="15.75" customHeight="1" x14ac:dyDescent="0.2">
      <c r="B464" s="39"/>
    </row>
    <row r="465" spans="2:2" ht="15.75" customHeight="1" x14ac:dyDescent="0.2">
      <c r="B465" s="39"/>
    </row>
    <row r="466" spans="2:2" ht="15.75" customHeight="1" x14ac:dyDescent="0.2">
      <c r="B466" s="39"/>
    </row>
    <row r="467" spans="2:2" ht="15.75" customHeight="1" x14ac:dyDescent="0.2">
      <c r="B467" s="39"/>
    </row>
    <row r="468" spans="2:2" ht="15.75" customHeight="1" x14ac:dyDescent="0.2">
      <c r="B468" s="39"/>
    </row>
    <row r="469" spans="2:2" ht="15.75" customHeight="1" x14ac:dyDescent="0.2">
      <c r="B469" s="39"/>
    </row>
    <row r="470" spans="2:2" ht="15.75" customHeight="1" x14ac:dyDescent="0.2">
      <c r="B470" s="39"/>
    </row>
    <row r="471" spans="2:2" ht="15.75" customHeight="1" x14ac:dyDescent="0.2">
      <c r="B471" s="39"/>
    </row>
    <row r="472" spans="2:2" ht="15.75" customHeight="1" x14ac:dyDescent="0.2">
      <c r="B472" s="39"/>
    </row>
    <row r="473" spans="2:2" ht="15.75" customHeight="1" x14ac:dyDescent="0.2">
      <c r="B473" s="39"/>
    </row>
    <row r="474" spans="2:2" ht="15.75" customHeight="1" x14ac:dyDescent="0.2">
      <c r="B474" s="39"/>
    </row>
    <row r="475" spans="2:2" ht="15.75" customHeight="1" x14ac:dyDescent="0.2">
      <c r="B475" s="39"/>
    </row>
    <row r="476" spans="2:2" ht="15.75" customHeight="1" x14ac:dyDescent="0.2">
      <c r="B476" s="39"/>
    </row>
    <row r="477" spans="2:2" ht="15.75" customHeight="1" x14ac:dyDescent="0.2">
      <c r="B477" s="39"/>
    </row>
    <row r="478" spans="2:2" ht="15.75" customHeight="1" x14ac:dyDescent="0.2">
      <c r="B478" s="39"/>
    </row>
    <row r="479" spans="2:2" ht="15.75" customHeight="1" x14ac:dyDescent="0.2">
      <c r="B479" s="39"/>
    </row>
    <row r="480" spans="2:2" ht="15.75" customHeight="1" x14ac:dyDescent="0.2">
      <c r="B480" s="39"/>
    </row>
    <row r="481" spans="2:2" ht="15.75" customHeight="1" x14ac:dyDescent="0.2">
      <c r="B481" s="39"/>
    </row>
    <row r="482" spans="2:2" ht="15.75" customHeight="1" x14ac:dyDescent="0.2">
      <c r="B482" s="39"/>
    </row>
    <row r="483" spans="2:2" ht="15.75" customHeight="1" x14ac:dyDescent="0.2">
      <c r="B483" s="39"/>
    </row>
    <row r="484" spans="2:2" ht="15.75" customHeight="1" x14ac:dyDescent="0.2">
      <c r="B484" s="39"/>
    </row>
    <row r="485" spans="2:2" ht="15.75" customHeight="1" x14ac:dyDescent="0.2">
      <c r="B485" s="39"/>
    </row>
    <row r="486" spans="2:2" ht="15.75" customHeight="1" x14ac:dyDescent="0.2">
      <c r="B486" s="39"/>
    </row>
    <row r="487" spans="2:2" ht="15.75" customHeight="1" x14ac:dyDescent="0.2">
      <c r="B487" s="39"/>
    </row>
    <row r="488" spans="2:2" ht="15.75" customHeight="1" x14ac:dyDescent="0.2">
      <c r="B488" s="39"/>
    </row>
    <row r="489" spans="2:2" ht="15.75" customHeight="1" x14ac:dyDescent="0.2">
      <c r="B489" s="39"/>
    </row>
    <row r="490" spans="2:2" ht="15.75" customHeight="1" x14ac:dyDescent="0.2">
      <c r="B490" s="39"/>
    </row>
    <row r="491" spans="2:2" ht="15.75" customHeight="1" x14ac:dyDescent="0.2">
      <c r="B491" s="39"/>
    </row>
    <row r="492" spans="2:2" ht="15.75" customHeight="1" x14ac:dyDescent="0.2">
      <c r="B492" s="39"/>
    </row>
    <row r="493" spans="2:2" ht="15.75" customHeight="1" x14ac:dyDescent="0.2">
      <c r="B493" s="39"/>
    </row>
    <row r="494" spans="2:2" ht="15.75" customHeight="1" x14ac:dyDescent="0.2">
      <c r="B494" s="39"/>
    </row>
    <row r="495" spans="2:2" ht="15.75" customHeight="1" x14ac:dyDescent="0.2">
      <c r="B495" s="39"/>
    </row>
    <row r="496" spans="2:2" ht="15.75" customHeight="1" x14ac:dyDescent="0.2">
      <c r="B496" s="39"/>
    </row>
    <row r="497" spans="2:2" ht="15.75" customHeight="1" x14ac:dyDescent="0.2">
      <c r="B497" s="39"/>
    </row>
    <row r="498" spans="2:2" ht="15.75" customHeight="1" x14ac:dyDescent="0.2">
      <c r="B498" s="39"/>
    </row>
    <row r="499" spans="2:2" ht="15.75" customHeight="1" x14ac:dyDescent="0.2">
      <c r="B499" s="39"/>
    </row>
    <row r="500" spans="2:2" ht="15.75" customHeight="1" x14ac:dyDescent="0.2">
      <c r="B500" s="39"/>
    </row>
    <row r="501" spans="2:2" ht="15.75" customHeight="1" x14ac:dyDescent="0.2">
      <c r="B501" s="39"/>
    </row>
    <row r="502" spans="2:2" ht="15.75" customHeight="1" x14ac:dyDescent="0.2">
      <c r="B502" s="39"/>
    </row>
    <row r="503" spans="2:2" ht="15.75" customHeight="1" x14ac:dyDescent="0.2">
      <c r="B503" s="39"/>
    </row>
    <row r="504" spans="2:2" ht="15.75" customHeight="1" x14ac:dyDescent="0.2">
      <c r="B504" s="39"/>
    </row>
    <row r="505" spans="2:2" ht="15.75" customHeight="1" x14ac:dyDescent="0.2">
      <c r="B505" s="39"/>
    </row>
    <row r="506" spans="2:2" ht="15.75" customHeight="1" x14ac:dyDescent="0.2">
      <c r="B506" s="39"/>
    </row>
    <row r="507" spans="2:2" ht="15.75" customHeight="1" x14ac:dyDescent="0.2">
      <c r="B507" s="39"/>
    </row>
    <row r="508" spans="2:2" ht="15.75" customHeight="1" x14ac:dyDescent="0.2">
      <c r="B508" s="39"/>
    </row>
    <row r="509" spans="2:2" ht="15.75" customHeight="1" x14ac:dyDescent="0.2">
      <c r="B509" s="39"/>
    </row>
    <row r="510" spans="2:2" ht="15.75" customHeight="1" x14ac:dyDescent="0.2">
      <c r="B510" s="39"/>
    </row>
    <row r="511" spans="2:2" ht="15.75" customHeight="1" x14ac:dyDescent="0.2">
      <c r="B511" s="39"/>
    </row>
    <row r="512" spans="2:2" ht="15.75" customHeight="1" x14ac:dyDescent="0.2">
      <c r="B512" s="39"/>
    </row>
    <row r="513" spans="2:2" ht="15.75" customHeight="1" x14ac:dyDescent="0.2">
      <c r="B513" s="39"/>
    </row>
    <row r="514" spans="2:2" ht="15.75" customHeight="1" x14ac:dyDescent="0.2">
      <c r="B514" s="39"/>
    </row>
    <row r="515" spans="2:2" ht="15.75" customHeight="1" x14ac:dyDescent="0.2">
      <c r="B515" s="39"/>
    </row>
    <row r="516" spans="2:2" ht="15.75" customHeight="1" x14ac:dyDescent="0.2">
      <c r="B516" s="39"/>
    </row>
    <row r="517" spans="2:2" ht="15.75" customHeight="1" x14ac:dyDescent="0.2">
      <c r="B517" s="39"/>
    </row>
    <row r="518" spans="2:2" ht="15.75" customHeight="1" x14ac:dyDescent="0.2">
      <c r="B518" s="39"/>
    </row>
    <row r="519" spans="2:2" ht="15.75" customHeight="1" x14ac:dyDescent="0.2">
      <c r="B519" s="39"/>
    </row>
    <row r="520" spans="2:2" ht="15.75" customHeight="1" x14ac:dyDescent="0.2">
      <c r="B520" s="39"/>
    </row>
    <row r="521" spans="2:2" ht="15.75" customHeight="1" x14ac:dyDescent="0.2">
      <c r="B521" s="39"/>
    </row>
    <row r="522" spans="2:2" ht="15.75" customHeight="1" x14ac:dyDescent="0.2">
      <c r="B522" s="39"/>
    </row>
    <row r="523" spans="2:2" ht="15.75" customHeight="1" x14ac:dyDescent="0.2">
      <c r="B523" s="39"/>
    </row>
    <row r="524" spans="2:2" ht="15.75" customHeight="1" x14ac:dyDescent="0.2">
      <c r="B524" s="39"/>
    </row>
    <row r="525" spans="2:2" ht="15.75" customHeight="1" x14ac:dyDescent="0.2">
      <c r="B525" s="39"/>
    </row>
    <row r="526" spans="2:2" ht="15.75" customHeight="1" x14ac:dyDescent="0.2">
      <c r="B526" s="39"/>
    </row>
    <row r="527" spans="2:2" ht="15.75" customHeight="1" x14ac:dyDescent="0.2">
      <c r="B527" s="39"/>
    </row>
    <row r="528" spans="2:2" ht="15.75" customHeight="1" x14ac:dyDescent="0.2">
      <c r="B528" s="39"/>
    </row>
    <row r="529" spans="2:2" ht="15.75" customHeight="1" x14ac:dyDescent="0.2">
      <c r="B529" s="39"/>
    </row>
    <row r="530" spans="2:2" ht="15.75" customHeight="1" x14ac:dyDescent="0.2">
      <c r="B530" s="39"/>
    </row>
    <row r="531" spans="2:2" ht="15.75" customHeight="1" x14ac:dyDescent="0.2">
      <c r="B531" s="39"/>
    </row>
    <row r="532" spans="2:2" ht="15.75" customHeight="1" x14ac:dyDescent="0.2">
      <c r="B532" s="39"/>
    </row>
    <row r="533" spans="2:2" ht="15.75" customHeight="1" x14ac:dyDescent="0.2">
      <c r="B533" s="39"/>
    </row>
    <row r="534" spans="2:2" ht="15.75" customHeight="1" x14ac:dyDescent="0.2">
      <c r="B534" s="39"/>
    </row>
    <row r="535" spans="2:2" ht="15.75" customHeight="1" x14ac:dyDescent="0.2">
      <c r="B535" s="39"/>
    </row>
    <row r="536" spans="2:2" ht="15.75" customHeight="1" x14ac:dyDescent="0.2">
      <c r="B536" s="39"/>
    </row>
    <row r="537" spans="2:2" ht="15.75" customHeight="1" x14ac:dyDescent="0.2">
      <c r="B537" s="39"/>
    </row>
    <row r="538" spans="2:2" ht="15.75" customHeight="1" x14ac:dyDescent="0.2">
      <c r="B538" s="39"/>
    </row>
    <row r="539" spans="2:2" ht="15.75" customHeight="1" x14ac:dyDescent="0.2">
      <c r="B539" s="39"/>
    </row>
    <row r="540" spans="2:2" ht="15.75" customHeight="1" x14ac:dyDescent="0.2">
      <c r="B540" s="39"/>
    </row>
    <row r="541" spans="2:2" ht="15.75" customHeight="1" x14ac:dyDescent="0.2">
      <c r="B541" s="39"/>
    </row>
    <row r="542" spans="2:2" ht="15.75" customHeight="1" x14ac:dyDescent="0.2">
      <c r="B542" s="39"/>
    </row>
    <row r="543" spans="2:2" ht="15.75" customHeight="1" x14ac:dyDescent="0.2">
      <c r="B543" s="39"/>
    </row>
    <row r="544" spans="2:2" ht="15.75" customHeight="1" x14ac:dyDescent="0.2">
      <c r="B544" s="39"/>
    </row>
    <row r="545" spans="2:2" ht="15.75" customHeight="1" x14ac:dyDescent="0.2">
      <c r="B545" s="39"/>
    </row>
    <row r="546" spans="2:2" ht="15.75" customHeight="1" x14ac:dyDescent="0.2">
      <c r="B546" s="39"/>
    </row>
    <row r="547" spans="2:2" ht="15.75" customHeight="1" x14ac:dyDescent="0.2">
      <c r="B547" s="39"/>
    </row>
    <row r="548" spans="2:2" ht="15.75" customHeight="1" x14ac:dyDescent="0.2">
      <c r="B548" s="39"/>
    </row>
    <row r="549" spans="2:2" ht="15.75" customHeight="1" x14ac:dyDescent="0.2">
      <c r="B549" s="39"/>
    </row>
    <row r="550" spans="2:2" ht="15.75" customHeight="1" x14ac:dyDescent="0.2">
      <c r="B550" s="39"/>
    </row>
    <row r="551" spans="2:2" ht="15.75" customHeight="1" x14ac:dyDescent="0.2">
      <c r="B551" s="39"/>
    </row>
    <row r="552" spans="2:2" ht="15.75" customHeight="1" x14ac:dyDescent="0.2">
      <c r="B552" s="39"/>
    </row>
    <row r="553" spans="2:2" ht="15.75" customHeight="1" x14ac:dyDescent="0.2">
      <c r="B553" s="39"/>
    </row>
    <row r="554" spans="2:2" ht="15.75" customHeight="1" x14ac:dyDescent="0.2">
      <c r="B554" s="39"/>
    </row>
    <row r="555" spans="2:2" ht="15.75" customHeight="1" x14ac:dyDescent="0.2">
      <c r="B555" s="39"/>
    </row>
    <row r="556" spans="2:2" ht="15.75" customHeight="1" x14ac:dyDescent="0.2">
      <c r="B556" s="39"/>
    </row>
    <row r="557" spans="2:2" ht="15.75" customHeight="1" x14ac:dyDescent="0.2">
      <c r="B557" s="39"/>
    </row>
    <row r="558" spans="2:2" ht="15.75" customHeight="1" x14ac:dyDescent="0.2">
      <c r="B558" s="39"/>
    </row>
    <row r="559" spans="2:2" ht="15.75" customHeight="1" x14ac:dyDescent="0.2">
      <c r="B559" s="39"/>
    </row>
    <row r="560" spans="2:2" ht="15.75" customHeight="1" x14ac:dyDescent="0.2">
      <c r="B560" s="39"/>
    </row>
    <row r="561" spans="2:2" ht="15.75" customHeight="1" x14ac:dyDescent="0.2">
      <c r="B561" s="39"/>
    </row>
    <row r="562" spans="2:2" ht="15.75" customHeight="1" x14ac:dyDescent="0.2">
      <c r="B562" s="39"/>
    </row>
    <row r="563" spans="2:2" ht="15.75" customHeight="1" x14ac:dyDescent="0.2">
      <c r="B563" s="39"/>
    </row>
    <row r="564" spans="2:2" ht="15.75" customHeight="1" x14ac:dyDescent="0.2">
      <c r="B564" s="39"/>
    </row>
    <row r="565" spans="2:2" ht="15.75" customHeight="1" x14ac:dyDescent="0.2">
      <c r="B565" s="39"/>
    </row>
    <row r="566" spans="2:2" ht="15.75" customHeight="1" x14ac:dyDescent="0.2">
      <c r="B566" s="39"/>
    </row>
    <row r="567" spans="2:2" ht="15.75" customHeight="1" x14ac:dyDescent="0.2">
      <c r="B567" s="39"/>
    </row>
    <row r="568" spans="2:2" ht="15.75" customHeight="1" x14ac:dyDescent="0.2">
      <c r="B568" s="39"/>
    </row>
    <row r="569" spans="2:2" ht="15.75" customHeight="1" x14ac:dyDescent="0.2">
      <c r="B569" s="39"/>
    </row>
    <row r="570" spans="2:2" ht="15.75" customHeight="1" x14ac:dyDescent="0.2">
      <c r="B570" s="39"/>
    </row>
    <row r="571" spans="2:2" ht="15.75" customHeight="1" x14ac:dyDescent="0.2">
      <c r="B571" s="39"/>
    </row>
    <row r="572" spans="2:2" ht="15.75" customHeight="1" x14ac:dyDescent="0.2">
      <c r="B572" s="39"/>
    </row>
    <row r="573" spans="2:2" ht="15.75" customHeight="1" x14ac:dyDescent="0.2">
      <c r="B573" s="39"/>
    </row>
    <row r="574" spans="2:2" ht="15.75" customHeight="1" x14ac:dyDescent="0.2">
      <c r="B574" s="39"/>
    </row>
    <row r="575" spans="2:2" ht="15.75" customHeight="1" x14ac:dyDescent="0.2">
      <c r="B575" s="39"/>
    </row>
    <row r="576" spans="2:2" ht="15.75" customHeight="1" x14ac:dyDescent="0.2">
      <c r="B576" s="39"/>
    </row>
    <row r="577" spans="2:2" ht="15.75" customHeight="1" x14ac:dyDescent="0.2">
      <c r="B577" s="39"/>
    </row>
    <row r="578" spans="2:2" ht="15.75" customHeight="1" x14ac:dyDescent="0.2">
      <c r="B578" s="39"/>
    </row>
    <row r="579" spans="2:2" ht="15.75" customHeight="1" x14ac:dyDescent="0.2">
      <c r="B579" s="39"/>
    </row>
    <row r="580" spans="2:2" ht="15.75" customHeight="1" x14ac:dyDescent="0.2">
      <c r="B580" s="39"/>
    </row>
    <row r="581" spans="2:2" ht="15.75" customHeight="1" x14ac:dyDescent="0.2">
      <c r="B581" s="39"/>
    </row>
    <row r="582" spans="2:2" ht="15.75" customHeight="1" x14ac:dyDescent="0.2">
      <c r="B582" s="39"/>
    </row>
    <row r="583" spans="2:2" ht="15.75" customHeight="1" x14ac:dyDescent="0.2">
      <c r="B583" s="39"/>
    </row>
    <row r="584" spans="2:2" ht="15.75" customHeight="1" x14ac:dyDescent="0.2">
      <c r="B584" s="39"/>
    </row>
    <row r="585" spans="2:2" ht="15.75" customHeight="1" x14ac:dyDescent="0.2">
      <c r="B585" s="39"/>
    </row>
    <row r="586" spans="2:2" ht="15.75" customHeight="1" x14ac:dyDescent="0.2">
      <c r="B586" s="39"/>
    </row>
    <row r="587" spans="2:2" ht="15.75" customHeight="1" x14ac:dyDescent="0.2">
      <c r="B587" s="39"/>
    </row>
    <row r="588" spans="2:2" ht="15.75" customHeight="1" x14ac:dyDescent="0.2">
      <c r="B588" s="39"/>
    </row>
    <row r="589" spans="2:2" ht="15.75" customHeight="1" x14ac:dyDescent="0.2">
      <c r="B589" s="39"/>
    </row>
    <row r="590" spans="2:2" ht="15.75" customHeight="1" x14ac:dyDescent="0.2">
      <c r="B590" s="39"/>
    </row>
    <row r="591" spans="2:2" ht="15.75" customHeight="1" x14ac:dyDescent="0.2">
      <c r="B591" s="39"/>
    </row>
    <row r="592" spans="2:2" ht="15.75" customHeight="1" x14ac:dyDescent="0.2">
      <c r="B592" s="39"/>
    </row>
    <row r="593" spans="2:2" ht="15.75" customHeight="1" x14ac:dyDescent="0.2">
      <c r="B593" s="39"/>
    </row>
    <row r="594" spans="2:2" ht="15.75" customHeight="1" x14ac:dyDescent="0.2">
      <c r="B594" s="39"/>
    </row>
    <row r="595" spans="2:2" ht="15.75" customHeight="1" x14ac:dyDescent="0.2">
      <c r="B595" s="39"/>
    </row>
    <row r="596" spans="2:2" ht="15.75" customHeight="1" x14ac:dyDescent="0.2">
      <c r="B596" s="39"/>
    </row>
    <row r="597" spans="2:2" ht="15.75" customHeight="1" x14ac:dyDescent="0.2">
      <c r="B597" s="39"/>
    </row>
    <row r="598" spans="2:2" ht="15.75" customHeight="1" x14ac:dyDescent="0.2">
      <c r="B598" s="39"/>
    </row>
    <row r="599" spans="2:2" ht="15.75" customHeight="1" x14ac:dyDescent="0.2">
      <c r="B599" s="39"/>
    </row>
    <row r="600" spans="2:2" ht="15.75" customHeight="1" x14ac:dyDescent="0.2">
      <c r="B600" s="39"/>
    </row>
    <row r="601" spans="2:2" ht="15.75" customHeight="1" x14ac:dyDescent="0.2">
      <c r="B601" s="39"/>
    </row>
    <row r="602" spans="2:2" ht="15.75" customHeight="1" x14ac:dyDescent="0.2">
      <c r="B602" s="39"/>
    </row>
    <row r="603" spans="2:2" ht="15.75" customHeight="1" x14ac:dyDescent="0.2">
      <c r="B603" s="39"/>
    </row>
    <row r="604" spans="2:2" ht="15.75" customHeight="1" x14ac:dyDescent="0.2">
      <c r="B604" s="39"/>
    </row>
    <row r="605" spans="2:2" ht="15.75" customHeight="1" x14ac:dyDescent="0.2">
      <c r="B605" s="39"/>
    </row>
    <row r="606" spans="2:2" ht="15.75" customHeight="1" x14ac:dyDescent="0.2">
      <c r="B606" s="39"/>
    </row>
    <row r="607" spans="2:2" ht="15.75" customHeight="1" x14ac:dyDescent="0.2">
      <c r="B607" s="39"/>
    </row>
    <row r="608" spans="2:2" ht="15.75" customHeight="1" x14ac:dyDescent="0.2">
      <c r="B608" s="39"/>
    </row>
    <row r="609" spans="2:2" ht="15.75" customHeight="1" x14ac:dyDescent="0.2">
      <c r="B609" s="39"/>
    </row>
    <row r="610" spans="2:2" ht="15.75" customHeight="1" x14ac:dyDescent="0.2">
      <c r="B610" s="39"/>
    </row>
    <row r="611" spans="2:2" ht="15.75" customHeight="1" x14ac:dyDescent="0.2">
      <c r="B611" s="39"/>
    </row>
    <row r="612" spans="2:2" ht="15.75" customHeight="1" x14ac:dyDescent="0.2">
      <c r="B612" s="39"/>
    </row>
    <row r="613" spans="2:2" ht="15.75" customHeight="1" x14ac:dyDescent="0.2">
      <c r="B613" s="39"/>
    </row>
    <row r="614" spans="2:2" ht="15.75" customHeight="1" x14ac:dyDescent="0.2">
      <c r="B614" s="39"/>
    </row>
    <row r="615" spans="2:2" ht="15.75" customHeight="1" x14ac:dyDescent="0.2">
      <c r="B615" s="39"/>
    </row>
    <row r="616" spans="2:2" ht="15.75" customHeight="1" x14ac:dyDescent="0.2">
      <c r="B616" s="39"/>
    </row>
    <row r="617" spans="2:2" ht="15.75" customHeight="1" x14ac:dyDescent="0.2">
      <c r="B617" s="39"/>
    </row>
    <row r="618" spans="2:2" ht="15.75" customHeight="1" x14ac:dyDescent="0.2">
      <c r="B618" s="39"/>
    </row>
    <row r="619" spans="2:2" ht="15.75" customHeight="1" x14ac:dyDescent="0.2">
      <c r="B619" s="39"/>
    </row>
    <row r="620" spans="2:2" ht="15.75" customHeight="1" x14ac:dyDescent="0.2">
      <c r="B620" s="39"/>
    </row>
    <row r="621" spans="2:2" ht="15.75" customHeight="1" x14ac:dyDescent="0.2">
      <c r="B621" s="39"/>
    </row>
    <row r="622" spans="2:2" ht="15.75" customHeight="1" x14ac:dyDescent="0.2">
      <c r="B622" s="39"/>
    </row>
    <row r="623" spans="2:2" ht="15.75" customHeight="1" x14ac:dyDescent="0.2">
      <c r="B623" s="39"/>
    </row>
    <row r="624" spans="2:2" ht="15.75" customHeight="1" x14ac:dyDescent="0.2">
      <c r="B624" s="39"/>
    </row>
    <row r="625" spans="2:2" ht="15.75" customHeight="1" x14ac:dyDescent="0.2">
      <c r="B625" s="39"/>
    </row>
    <row r="626" spans="2:2" ht="15.75" customHeight="1" x14ac:dyDescent="0.2">
      <c r="B626" s="39"/>
    </row>
    <row r="627" spans="2:2" ht="15.75" customHeight="1" x14ac:dyDescent="0.2">
      <c r="B627" s="39"/>
    </row>
    <row r="628" spans="2:2" ht="15.75" customHeight="1" x14ac:dyDescent="0.2">
      <c r="B628" s="39"/>
    </row>
    <row r="629" spans="2:2" ht="15.75" customHeight="1" x14ac:dyDescent="0.2">
      <c r="B629" s="39"/>
    </row>
    <row r="630" spans="2:2" ht="15.75" customHeight="1" x14ac:dyDescent="0.2">
      <c r="B630" s="39"/>
    </row>
    <row r="631" spans="2:2" ht="15.75" customHeight="1" x14ac:dyDescent="0.2">
      <c r="B631" s="39"/>
    </row>
    <row r="632" spans="2:2" ht="15.75" customHeight="1" x14ac:dyDescent="0.2">
      <c r="B632" s="39"/>
    </row>
    <row r="633" spans="2:2" ht="15.75" customHeight="1" x14ac:dyDescent="0.2">
      <c r="B633" s="39"/>
    </row>
    <row r="634" spans="2:2" ht="15.75" customHeight="1" x14ac:dyDescent="0.2">
      <c r="B634" s="39"/>
    </row>
    <row r="635" spans="2:2" ht="15.75" customHeight="1" x14ac:dyDescent="0.2">
      <c r="B635" s="39"/>
    </row>
    <row r="636" spans="2:2" ht="15.75" customHeight="1" x14ac:dyDescent="0.2">
      <c r="B636" s="39"/>
    </row>
    <row r="637" spans="2:2" ht="15.75" customHeight="1" x14ac:dyDescent="0.2">
      <c r="B637" s="39"/>
    </row>
    <row r="638" spans="2:2" ht="15.75" customHeight="1" x14ac:dyDescent="0.2">
      <c r="B638" s="39"/>
    </row>
    <row r="639" spans="2:2" ht="15.75" customHeight="1" x14ac:dyDescent="0.2">
      <c r="B639" s="39"/>
    </row>
    <row r="640" spans="2:2" ht="15.75" customHeight="1" x14ac:dyDescent="0.2">
      <c r="B640" s="39"/>
    </row>
    <row r="641" spans="2:2" ht="15.75" customHeight="1" x14ac:dyDescent="0.2">
      <c r="B641" s="39"/>
    </row>
    <row r="642" spans="2:2" ht="15.75" customHeight="1" x14ac:dyDescent="0.2">
      <c r="B642" s="39"/>
    </row>
    <row r="643" spans="2:2" ht="15.75" customHeight="1" x14ac:dyDescent="0.2">
      <c r="B643" s="39"/>
    </row>
    <row r="644" spans="2:2" ht="15.75" customHeight="1" x14ac:dyDescent="0.2">
      <c r="B644" s="39"/>
    </row>
    <row r="645" spans="2:2" ht="15.75" customHeight="1" x14ac:dyDescent="0.2">
      <c r="B645" s="39"/>
    </row>
    <row r="646" spans="2:2" ht="15.75" customHeight="1" x14ac:dyDescent="0.2">
      <c r="B646" s="39"/>
    </row>
    <row r="647" spans="2:2" ht="15.75" customHeight="1" x14ac:dyDescent="0.2">
      <c r="B647" s="39"/>
    </row>
    <row r="648" spans="2:2" ht="15.75" customHeight="1" x14ac:dyDescent="0.2">
      <c r="B648" s="39"/>
    </row>
    <row r="649" spans="2:2" ht="15.75" customHeight="1" x14ac:dyDescent="0.2">
      <c r="B649" s="39"/>
    </row>
    <row r="650" spans="2:2" ht="15.75" customHeight="1" x14ac:dyDescent="0.2">
      <c r="B650" s="39"/>
    </row>
    <row r="651" spans="2:2" ht="15.75" customHeight="1" x14ac:dyDescent="0.2">
      <c r="B651" s="39"/>
    </row>
    <row r="652" spans="2:2" ht="15.75" customHeight="1" x14ac:dyDescent="0.2">
      <c r="B652" s="39"/>
    </row>
    <row r="653" spans="2:2" ht="15.75" customHeight="1" x14ac:dyDescent="0.2">
      <c r="B653" s="39"/>
    </row>
    <row r="654" spans="2:2" ht="15.75" customHeight="1" x14ac:dyDescent="0.2">
      <c r="B654" s="39"/>
    </row>
    <row r="655" spans="2:2" ht="15.75" customHeight="1" x14ac:dyDescent="0.2">
      <c r="B655" s="39"/>
    </row>
    <row r="656" spans="2:2" ht="15.75" customHeight="1" x14ac:dyDescent="0.2">
      <c r="B656" s="39"/>
    </row>
    <row r="657" spans="2:2" ht="15.75" customHeight="1" x14ac:dyDescent="0.2">
      <c r="B657" s="39"/>
    </row>
    <row r="658" spans="2:2" ht="15.75" customHeight="1" x14ac:dyDescent="0.2">
      <c r="B658" s="39"/>
    </row>
    <row r="659" spans="2:2" ht="15.75" customHeight="1" x14ac:dyDescent="0.2">
      <c r="B659" s="39"/>
    </row>
    <row r="660" spans="2:2" ht="15.75" customHeight="1" x14ac:dyDescent="0.2">
      <c r="B660" s="39"/>
    </row>
    <row r="661" spans="2:2" ht="15.75" customHeight="1" x14ac:dyDescent="0.2">
      <c r="B661" s="39"/>
    </row>
    <row r="662" spans="2:2" ht="15.75" customHeight="1" x14ac:dyDescent="0.2">
      <c r="B662" s="39"/>
    </row>
    <row r="663" spans="2:2" ht="15.75" customHeight="1" x14ac:dyDescent="0.2">
      <c r="B663" s="39"/>
    </row>
    <row r="664" spans="2:2" ht="15.75" customHeight="1" x14ac:dyDescent="0.2">
      <c r="B664" s="39"/>
    </row>
    <row r="665" spans="2:2" ht="15.75" customHeight="1" x14ac:dyDescent="0.2">
      <c r="B665" s="39"/>
    </row>
    <row r="666" spans="2:2" ht="15.75" customHeight="1" x14ac:dyDescent="0.2">
      <c r="B666" s="39"/>
    </row>
    <row r="667" spans="2:2" ht="15.75" customHeight="1" x14ac:dyDescent="0.2">
      <c r="B667" s="39"/>
    </row>
    <row r="668" spans="2:2" ht="15.75" customHeight="1" x14ac:dyDescent="0.2">
      <c r="B668" s="39"/>
    </row>
    <row r="669" spans="2:2" ht="15.75" customHeight="1" x14ac:dyDescent="0.2">
      <c r="B669" s="39"/>
    </row>
    <row r="670" spans="2:2" ht="15.75" customHeight="1" x14ac:dyDescent="0.2">
      <c r="B670" s="39"/>
    </row>
    <row r="671" spans="2:2" ht="15.75" customHeight="1" x14ac:dyDescent="0.2">
      <c r="B671" s="39"/>
    </row>
    <row r="672" spans="2:2" ht="15.75" customHeight="1" x14ac:dyDescent="0.2">
      <c r="B672" s="39"/>
    </row>
    <row r="673" spans="2:2" ht="15.75" customHeight="1" x14ac:dyDescent="0.2">
      <c r="B673" s="39"/>
    </row>
    <row r="674" spans="2:2" ht="15.75" customHeight="1" x14ac:dyDescent="0.2">
      <c r="B674" s="39"/>
    </row>
    <row r="675" spans="2:2" ht="15.75" customHeight="1" x14ac:dyDescent="0.2">
      <c r="B675" s="39"/>
    </row>
    <row r="676" spans="2:2" ht="15.75" customHeight="1" x14ac:dyDescent="0.2">
      <c r="B676" s="39"/>
    </row>
    <row r="677" spans="2:2" ht="15.75" customHeight="1" x14ac:dyDescent="0.2">
      <c r="B677" s="39"/>
    </row>
    <row r="678" spans="2:2" ht="15.75" customHeight="1" x14ac:dyDescent="0.2">
      <c r="B678" s="39"/>
    </row>
    <row r="679" spans="2:2" ht="15.75" customHeight="1" x14ac:dyDescent="0.2">
      <c r="B679" s="39"/>
    </row>
    <row r="680" spans="2:2" ht="15.75" customHeight="1" x14ac:dyDescent="0.2">
      <c r="B680" s="39"/>
    </row>
    <row r="681" spans="2:2" ht="15.75" customHeight="1" x14ac:dyDescent="0.2">
      <c r="B681" s="39"/>
    </row>
    <row r="682" spans="2:2" ht="15.75" customHeight="1" x14ac:dyDescent="0.2">
      <c r="B682" s="39"/>
    </row>
    <row r="683" spans="2:2" ht="15.75" customHeight="1" x14ac:dyDescent="0.2">
      <c r="B683" s="39"/>
    </row>
    <row r="684" spans="2:2" ht="15.75" customHeight="1" x14ac:dyDescent="0.2">
      <c r="B684" s="39"/>
    </row>
    <row r="685" spans="2:2" ht="15.75" customHeight="1" x14ac:dyDescent="0.2">
      <c r="B685" s="39"/>
    </row>
    <row r="686" spans="2:2" ht="15.75" customHeight="1" x14ac:dyDescent="0.2">
      <c r="B686" s="39"/>
    </row>
    <row r="687" spans="2:2" ht="15.75" customHeight="1" x14ac:dyDescent="0.2">
      <c r="B687" s="39"/>
    </row>
    <row r="688" spans="2:2" ht="15.75" customHeight="1" x14ac:dyDescent="0.2">
      <c r="B688" s="39"/>
    </row>
    <row r="689" spans="2:2" ht="15.75" customHeight="1" x14ac:dyDescent="0.2">
      <c r="B689" s="39"/>
    </row>
    <row r="690" spans="2:2" ht="15.75" customHeight="1" x14ac:dyDescent="0.2">
      <c r="B690" s="39"/>
    </row>
    <row r="691" spans="2:2" ht="15.75" customHeight="1" x14ac:dyDescent="0.2">
      <c r="B691" s="39"/>
    </row>
    <row r="692" spans="2:2" ht="15.75" customHeight="1" x14ac:dyDescent="0.2">
      <c r="B692" s="39"/>
    </row>
    <row r="693" spans="2:2" ht="15.75" customHeight="1" x14ac:dyDescent="0.2">
      <c r="B693" s="39"/>
    </row>
    <row r="694" spans="2:2" ht="15.75" customHeight="1" x14ac:dyDescent="0.2">
      <c r="B694" s="39"/>
    </row>
    <row r="695" spans="2:2" ht="15.75" customHeight="1" x14ac:dyDescent="0.2">
      <c r="B695" s="39"/>
    </row>
    <row r="696" spans="2:2" ht="15.75" customHeight="1" x14ac:dyDescent="0.2">
      <c r="B696" s="39"/>
    </row>
    <row r="697" spans="2:2" ht="15.75" customHeight="1" x14ac:dyDescent="0.2">
      <c r="B697" s="39"/>
    </row>
    <row r="698" spans="2:2" ht="15.75" customHeight="1" x14ac:dyDescent="0.2">
      <c r="B698" s="39"/>
    </row>
    <row r="699" spans="2:2" ht="15.75" customHeight="1" x14ac:dyDescent="0.2">
      <c r="B699" s="39"/>
    </row>
    <row r="700" spans="2:2" ht="15.75" customHeight="1" x14ac:dyDescent="0.2">
      <c r="B700" s="39"/>
    </row>
    <row r="701" spans="2:2" ht="15.75" customHeight="1" x14ac:dyDescent="0.2">
      <c r="B701" s="39"/>
    </row>
    <row r="702" spans="2:2" ht="15.75" customHeight="1" x14ac:dyDescent="0.2">
      <c r="B702" s="39"/>
    </row>
    <row r="703" spans="2:2" ht="15.75" customHeight="1" x14ac:dyDescent="0.2">
      <c r="B703" s="39"/>
    </row>
    <row r="704" spans="2:2" ht="15.75" customHeight="1" x14ac:dyDescent="0.2">
      <c r="B704" s="39"/>
    </row>
    <row r="705" spans="2:2" ht="15.75" customHeight="1" x14ac:dyDescent="0.2">
      <c r="B705" s="39"/>
    </row>
    <row r="706" spans="2:2" ht="15.75" customHeight="1" x14ac:dyDescent="0.2">
      <c r="B706" s="39"/>
    </row>
    <row r="707" spans="2:2" ht="15.75" customHeight="1" x14ac:dyDescent="0.2">
      <c r="B707" s="39"/>
    </row>
    <row r="708" spans="2:2" ht="15.75" customHeight="1" x14ac:dyDescent="0.2">
      <c r="B708" s="39"/>
    </row>
    <row r="709" spans="2:2" ht="15.75" customHeight="1" x14ac:dyDescent="0.2">
      <c r="B709" s="39"/>
    </row>
    <row r="710" spans="2:2" ht="15.75" customHeight="1" x14ac:dyDescent="0.2">
      <c r="B710" s="39"/>
    </row>
    <row r="711" spans="2:2" ht="15.75" customHeight="1" x14ac:dyDescent="0.2">
      <c r="B711" s="39"/>
    </row>
    <row r="712" spans="2:2" ht="15.75" customHeight="1" x14ac:dyDescent="0.2">
      <c r="B712" s="39"/>
    </row>
    <row r="713" spans="2:2" ht="15.75" customHeight="1" x14ac:dyDescent="0.2">
      <c r="B713" s="39"/>
    </row>
    <row r="714" spans="2:2" ht="15.75" customHeight="1" x14ac:dyDescent="0.2">
      <c r="B714" s="39"/>
    </row>
    <row r="715" spans="2:2" ht="15.75" customHeight="1" x14ac:dyDescent="0.2">
      <c r="B715" s="39"/>
    </row>
    <row r="716" spans="2:2" ht="15.75" customHeight="1" x14ac:dyDescent="0.2">
      <c r="B716" s="39"/>
    </row>
    <row r="717" spans="2:2" ht="15.75" customHeight="1" x14ac:dyDescent="0.2">
      <c r="B717" s="39"/>
    </row>
    <row r="718" spans="2:2" ht="15.75" customHeight="1" x14ac:dyDescent="0.2">
      <c r="B718" s="39"/>
    </row>
    <row r="719" spans="2:2" ht="15.75" customHeight="1" x14ac:dyDescent="0.2">
      <c r="B719" s="39"/>
    </row>
    <row r="720" spans="2:2" ht="15.75" customHeight="1" x14ac:dyDescent="0.2">
      <c r="B720" s="39"/>
    </row>
    <row r="721" spans="2:2" ht="15.75" customHeight="1" x14ac:dyDescent="0.2">
      <c r="B721" s="39"/>
    </row>
    <row r="722" spans="2:2" ht="15.75" customHeight="1" x14ac:dyDescent="0.2">
      <c r="B722" s="39"/>
    </row>
    <row r="723" spans="2:2" ht="15.75" customHeight="1" x14ac:dyDescent="0.2">
      <c r="B723" s="39"/>
    </row>
    <row r="724" spans="2:2" ht="15.75" customHeight="1" x14ac:dyDescent="0.2">
      <c r="B724" s="39"/>
    </row>
    <row r="725" spans="2:2" ht="15.75" customHeight="1" x14ac:dyDescent="0.2">
      <c r="B725" s="39"/>
    </row>
    <row r="726" spans="2:2" ht="15.75" customHeight="1" x14ac:dyDescent="0.2">
      <c r="B726" s="39"/>
    </row>
    <row r="727" spans="2:2" ht="15.75" customHeight="1" x14ac:dyDescent="0.2">
      <c r="B727" s="39"/>
    </row>
    <row r="728" spans="2:2" ht="15.75" customHeight="1" x14ac:dyDescent="0.2">
      <c r="B728" s="39"/>
    </row>
    <row r="729" spans="2:2" ht="15.75" customHeight="1" x14ac:dyDescent="0.2">
      <c r="B729" s="39"/>
    </row>
    <row r="730" spans="2:2" ht="15.75" customHeight="1" x14ac:dyDescent="0.2">
      <c r="B730" s="39"/>
    </row>
    <row r="731" spans="2:2" ht="15.75" customHeight="1" x14ac:dyDescent="0.2">
      <c r="B731" s="39"/>
    </row>
    <row r="732" spans="2:2" ht="15.75" customHeight="1" x14ac:dyDescent="0.2">
      <c r="B732" s="39"/>
    </row>
    <row r="733" spans="2:2" ht="15.75" customHeight="1" x14ac:dyDescent="0.2">
      <c r="B733" s="39"/>
    </row>
    <row r="734" spans="2:2" ht="15.75" customHeight="1" x14ac:dyDescent="0.2">
      <c r="B734" s="39"/>
    </row>
    <row r="735" spans="2:2" ht="15.75" customHeight="1" x14ac:dyDescent="0.2">
      <c r="B735" s="39"/>
    </row>
    <row r="736" spans="2:2" ht="15.75" customHeight="1" x14ac:dyDescent="0.2">
      <c r="B736" s="39"/>
    </row>
    <row r="737" spans="2:2" ht="15.75" customHeight="1" x14ac:dyDescent="0.2">
      <c r="B737" s="39"/>
    </row>
    <row r="738" spans="2:2" ht="15.75" customHeight="1" x14ac:dyDescent="0.2">
      <c r="B738" s="39"/>
    </row>
    <row r="739" spans="2:2" ht="15.75" customHeight="1" x14ac:dyDescent="0.2">
      <c r="B739" s="39"/>
    </row>
    <row r="740" spans="2:2" ht="15.75" customHeight="1" x14ac:dyDescent="0.2">
      <c r="B740" s="39"/>
    </row>
    <row r="741" spans="2:2" ht="15.75" customHeight="1" x14ac:dyDescent="0.2">
      <c r="B741" s="39"/>
    </row>
    <row r="742" spans="2:2" ht="15.75" customHeight="1" x14ac:dyDescent="0.2">
      <c r="B742" s="39"/>
    </row>
    <row r="743" spans="2:2" ht="15.75" customHeight="1" x14ac:dyDescent="0.2">
      <c r="B743" s="39"/>
    </row>
    <row r="744" spans="2:2" ht="15.75" customHeight="1" x14ac:dyDescent="0.2">
      <c r="B744" s="39"/>
    </row>
    <row r="745" spans="2:2" ht="15.75" customHeight="1" x14ac:dyDescent="0.2">
      <c r="B745" s="39"/>
    </row>
    <row r="746" spans="2:2" ht="15.75" customHeight="1" x14ac:dyDescent="0.2">
      <c r="B746" s="39"/>
    </row>
    <row r="747" spans="2:2" ht="15.75" customHeight="1" x14ac:dyDescent="0.2">
      <c r="B747" s="39"/>
    </row>
    <row r="748" spans="2:2" ht="15.75" customHeight="1" x14ac:dyDescent="0.2">
      <c r="B748" s="39"/>
    </row>
    <row r="749" spans="2:2" ht="15.75" customHeight="1" x14ac:dyDescent="0.2">
      <c r="B749" s="39"/>
    </row>
    <row r="750" spans="2:2" ht="15.75" customHeight="1" x14ac:dyDescent="0.2">
      <c r="B750" s="39"/>
    </row>
    <row r="751" spans="2:2" ht="15.75" customHeight="1" x14ac:dyDescent="0.2">
      <c r="B751" s="39"/>
    </row>
    <row r="752" spans="2:2" ht="15.75" customHeight="1" x14ac:dyDescent="0.2">
      <c r="B752" s="39"/>
    </row>
    <row r="753" spans="2:2" ht="15.75" customHeight="1" x14ac:dyDescent="0.2">
      <c r="B753" s="39"/>
    </row>
    <row r="754" spans="2:2" ht="15.75" customHeight="1" x14ac:dyDescent="0.2">
      <c r="B754" s="39"/>
    </row>
    <row r="755" spans="2:2" ht="15.75" customHeight="1" x14ac:dyDescent="0.2">
      <c r="B755" s="39"/>
    </row>
    <row r="756" spans="2:2" ht="15.75" customHeight="1" x14ac:dyDescent="0.2">
      <c r="B756" s="39"/>
    </row>
    <row r="757" spans="2:2" ht="15.75" customHeight="1" x14ac:dyDescent="0.2">
      <c r="B757" s="39"/>
    </row>
    <row r="758" spans="2:2" ht="15.75" customHeight="1" x14ac:dyDescent="0.2">
      <c r="B758" s="39"/>
    </row>
    <row r="759" spans="2:2" ht="15.75" customHeight="1" x14ac:dyDescent="0.2">
      <c r="B759" s="39"/>
    </row>
    <row r="760" spans="2:2" ht="15.75" customHeight="1" x14ac:dyDescent="0.2">
      <c r="B760" s="39"/>
    </row>
    <row r="761" spans="2:2" ht="15.75" customHeight="1" x14ac:dyDescent="0.2">
      <c r="B761" s="39"/>
    </row>
    <row r="762" spans="2:2" ht="15.75" customHeight="1" x14ac:dyDescent="0.2">
      <c r="B762" s="39"/>
    </row>
    <row r="763" spans="2:2" ht="15.75" customHeight="1" x14ac:dyDescent="0.2">
      <c r="B763" s="39"/>
    </row>
    <row r="764" spans="2:2" ht="15.75" customHeight="1" x14ac:dyDescent="0.2">
      <c r="B764" s="39"/>
    </row>
    <row r="765" spans="2:2" ht="15.75" customHeight="1" x14ac:dyDescent="0.2">
      <c r="B765" s="39"/>
    </row>
    <row r="766" spans="2:2" ht="15.75" customHeight="1" x14ac:dyDescent="0.2">
      <c r="B766" s="39"/>
    </row>
    <row r="767" spans="2:2" ht="15.75" customHeight="1" x14ac:dyDescent="0.2">
      <c r="B767" s="39"/>
    </row>
    <row r="768" spans="2:2" ht="15.75" customHeight="1" x14ac:dyDescent="0.2">
      <c r="B768" s="39"/>
    </row>
    <row r="769" spans="2:2" ht="15.75" customHeight="1" x14ac:dyDescent="0.2">
      <c r="B769" s="39"/>
    </row>
    <row r="770" spans="2:2" ht="15.75" customHeight="1" x14ac:dyDescent="0.2">
      <c r="B770" s="39"/>
    </row>
    <row r="771" spans="2:2" ht="15.75" customHeight="1" x14ac:dyDescent="0.2">
      <c r="B771" s="39"/>
    </row>
    <row r="772" spans="2:2" ht="15.75" customHeight="1" x14ac:dyDescent="0.2">
      <c r="B772" s="39"/>
    </row>
    <row r="773" spans="2:2" ht="15.75" customHeight="1" x14ac:dyDescent="0.2">
      <c r="B773" s="39"/>
    </row>
    <row r="774" spans="2:2" ht="15.75" customHeight="1" x14ac:dyDescent="0.2">
      <c r="B774" s="39"/>
    </row>
    <row r="775" spans="2:2" ht="15.75" customHeight="1" x14ac:dyDescent="0.2">
      <c r="B775" s="39"/>
    </row>
    <row r="776" spans="2:2" ht="15.75" customHeight="1" x14ac:dyDescent="0.2">
      <c r="B776" s="39"/>
    </row>
    <row r="777" spans="2:2" ht="15.75" customHeight="1" x14ac:dyDescent="0.2">
      <c r="B777" s="39"/>
    </row>
    <row r="778" spans="2:2" ht="15.75" customHeight="1" x14ac:dyDescent="0.2">
      <c r="B778" s="39"/>
    </row>
    <row r="779" spans="2:2" ht="15.75" customHeight="1" x14ac:dyDescent="0.2">
      <c r="B779" s="39"/>
    </row>
    <row r="780" spans="2:2" ht="15.75" customHeight="1" x14ac:dyDescent="0.2">
      <c r="B780" s="39"/>
    </row>
    <row r="781" spans="2:2" ht="15.75" customHeight="1" x14ac:dyDescent="0.2">
      <c r="B781" s="39"/>
    </row>
    <row r="782" spans="2:2" ht="15.75" customHeight="1" x14ac:dyDescent="0.2">
      <c r="B782" s="39"/>
    </row>
    <row r="783" spans="2:2" ht="15.75" customHeight="1" x14ac:dyDescent="0.2">
      <c r="B783" s="39"/>
    </row>
    <row r="784" spans="2:2" ht="15.75" customHeight="1" x14ac:dyDescent="0.2">
      <c r="B784" s="39"/>
    </row>
    <row r="785" spans="2:2" ht="15.75" customHeight="1" x14ac:dyDescent="0.2">
      <c r="B785" s="39"/>
    </row>
    <row r="786" spans="2:2" ht="15.75" customHeight="1" x14ac:dyDescent="0.2">
      <c r="B786" s="39"/>
    </row>
    <row r="787" spans="2:2" ht="15.75" customHeight="1" x14ac:dyDescent="0.2">
      <c r="B787" s="39"/>
    </row>
    <row r="788" spans="2:2" ht="15.75" customHeight="1" x14ac:dyDescent="0.2">
      <c r="B788" s="39"/>
    </row>
    <row r="789" spans="2:2" ht="15.75" customHeight="1" x14ac:dyDescent="0.2">
      <c r="B789" s="39"/>
    </row>
    <row r="790" spans="2:2" ht="15.75" customHeight="1" x14ac:dyDescent="0.2">
      <c r="B790" s="39"/>
    </row>
    <row r="791" spans="2:2" ht="15.75" customHeight="1" x14ac:dyDescent="0.2">
      <c r="B791" s="39"/>
    </row>
    <row r="792" spans="2:2" ht="15.75" customHeight="1" x14ac:dyDescent="0.2">
      <c r="B792" s="39"/>
    </row>
    <row r="793" spans="2:2" ht="15.75" customHeight="1" x14ac:dyDescent="0.2">
      <c r="B793" s="39"/>
    </row>
    <row r="794" spans="2:2" ht="15.75" customHeight="1" x14ac:dyDescent="0.2">
      <c r="B794" s="39"/>
    </row>
    <row r="795" spans="2:2" ht="15.75" customHeight="1" x14ac:dyDescent="0.2">
      <c r="B795" s="39"/>
    </row>
    <row r="796" spans="2:2" ht="15.75" customHeight="1" x14ac:dyDescent="0.2">
      <c r="B796" s="39"/>
    </row>
    <row r="797" spans="2:2" ht="15.75" customHeight="1" x14ac:dyDescent="0.2">
      <c r="B797" s="39"/>
    </row>
    <row r="798" spans="2:2" ht="15.75" customHeight="1" x14ac:dyDescent="0.2">
      <c r="B798" s="39"/>
    </row>
    <row r="799" spans="2:2" ht="15.75" customHeight="1" x14ac:dyDescent="0.2">
      <c r="B799" s="39"/>
    </row>
    <row r="800" spans="2:2" ht="15.75" customHeight="1" x14ac:dyDescent="0.2">
      <c r="B800" s="39"/>
    </row>
    <row r="801" spans="2:2" ht="15.75" customHeight="1" x14ac:dyDescent="0.2">
      <c r="B801" s="39"/>
    </row>
    <row r="802" spans="2:2" ht="15.75" customHeight="1" x14ac:dyDescent="0.2">
      <c r="B802" s="39"/>
    </row>
    <row r="803" spans="2:2" ht="15.75" customHeight="1" x14ac:dyDescent="0.2">
      <c r="B803" s="39"/>
    </row>
    <row r="804" spans="2:2" ht="15.75" customHeight="1" x14ac:dyDescent="0.2">
      <c r="B804" s="39"/>
    </row>
    <row r="805" spans="2:2" ht="15.75" customHeight="1" x14ac:dyDescent="0.2">
      <c r="B805" s="39"/>
    </row>
    <row r="806" spans="2:2" ht="15.75" customHeight="1" x14ac:dyDescent="0.2">
      <c r="B806" s="39"/>
    </row>
    <row r="807" spans="2:2" ht="15.75" customHeight="1" x14ac:dyDescent="0.2">
      <c r="B807" s="39"/>
    </row>
    <row r="808" spans="2:2" ht="15.75" customHeight="1" x14ac:dyDescent="0.2">
      <c r="B808" s="39"/>
    </row>
    <row r="809" spans="2:2" ht="15.75" customHeight="1" x14ac:dyDescent="0.2">
      <c r="B809" s="39"/>
    </row>
    <row r="810" spans="2:2" ht="15.75" customHeight="1" x14ac:dyDescent="0.2">
      <c r="B810" s="39"/>
    </row>
    <row r="811" spans="2:2" ht="15.75" customHeight="1" x14ac:dyDescent="0.2">
      <c r="B811" s="39"/>
    </row>
    <row r="812" spans="2:2" ht="15.75" customHeight="1" x14ac:dyDescent="0.2">
      <c r="B812" s="39"/>
    </row>
    <row r="813" spans="2:2" ht="15.75" customHeight="1" x14ac:dyDescent="0.2">
      <c r="B813" s="39"/>
    </row>
    <row r="814" spans="2:2" ht="15.75" customHeight="1" x14ac:dyDescent="0.2">
      <c r="B814" s="39"/>
    </row>
    <row r="815" spans="2:2" ht="15.75" customHeight="1" x14ac:dyDescent="0.2">
      <c r="B815" s="39"/>
    </row>
    <row r="816" spans="2:2" ht="15.75" customHeight="1" x14ac:dyDescent="0.2">
      <c r="B816" s="39"/>
    </row>
    <row r="817" spans="2:2" ht="15.75" customHeight="1" x14ac:dyDescent="0.2">
      <c r="B817" s="39"/>
    </row>
    <row r="818" spans="2:2" ht="15.75" customHeight="1" x14ac:dyDescent="0.2">
      <c r="B818" s="39"/>
    </row>
    <row r="819" spans="2:2" ht="15.75" customHeight="1" x14ac:dyDescent="0.2">
      <c r="B819" s="39"/>
    </row>
    <row r="820" spans="2:2" ht="15.75" customHeight="1" x14ac:dyDescent="0.2">
      <c r="B820" s="39"/>
    </row>
    <row r="821" spans="2:2" ht="15.75" customHeight="1" x14ac:dyDescent="0.2">
      <c r="B821" s="39"/>
    </row>
    <row r="822" spans="2:2" ht="15.75" customHeight="1" x14ac:dyDescent="0.2">
      <c r="B822" s="39"/>
    </row>
    <row r="823" spans="2:2" ht="15.75" customHeight="1" x14ac:dyDescent="0.2">
      <c r="B823" s="39"/>
    </row>
    <row r="824" spans="2:2" ht="15.75" customHeight="1" x14ac:dyDescent="0.2">
      <c r="B824" s="39"/>
    </row>
    <row r="825" spans="2:2" ht="15.75" customHeight="1" x14ac:dyDescent="0.2">
      <c r="B825" s="39"/>
    </row>
    <row r="826" spans="2:2" ht="15.75" customHeight="1" x14ac:dyDescent="0.2">
      <c r="B826" s="39"/>
    </row>
    <row r="827" spans="2:2" ht="15.75" customHeight="1" x14ac:dyDescent="0.2">
      <c r="B827" s="39"/>
    </row>
    <row r="828" spans="2:2" ht="15.75" customHeight="1" x14ac:dyDescent="0.2">
      <c r="B828" s="39"/>
    </row>
    <row r="829" spans="2:2" ht="15.75" customHeight="1" x14ac:dyDescent="0.2">
      <c r="B829" s="39"/>
    </row>
    <row r="830" spans="2:2" ht="15.75" customHeight="1" x14ac:dyDescent="0.2">
      <c r="B830" s="39"/>
    </row>
    <row r="831" spans="2:2" ht="15.75" customHeight="1" x14ac:dyDescent="0.2">
      <c r="B831" s="39"/>
    </row>
    <row r="832" spans="2:2" ht="15.75" customHeight="1" x14ac:dyDescent="0.2">
      <c r="B832" s="39"/>
    </row>
    <row r="833" spans="2:2" ht="15.75" customHeight="1" x14ac:dyDescent="0.2">
      <c r="B833" s="39"/>
    </row>
    <row r="834" spans="2:2" ht="15.75" customHeight="1" x14ac:dyDescent="0.2">
      <c r="B834" s="39"/>
    </row>
    <row r="835" spans="2:2" ht="15.75" customHeight="1" x14ac:dyDescent="0.2">
      <c r="B835" s="39"/>
    </row>
    <row r="836" spans="2:2" ht="15.75" customHeight="1" x14ac:dyDescent="0.2">
      <c r="B836" s="39"/>
    </row>
    <row r="837" spans="2:2" ht="15.75" customHeight="1" x14ac:dyDescent="0.2">
      <c r="B837" s="39"/>
    </row>
    <row r="838" spans="2:2" ht="15.75" customHeight="1" x14ac:dyDescent="0.2">
      <c r="B838" s="39"/>
    </row>
    <row r="839" spans="2:2" ht="15.75" customHeight="1" x14ac:dyDescent="0.2">
      <c r="B839" s="39"/>
    </row>
    <row r="840" spans="2:2" ht="15.75" customHeight="1" x14ac:dyDescent="0.2">
      <c r="B840" s="39"/>
    </row>
    <row r="841" spans="2:2" ht="15.75" customHeight="1" x14ac:dyDescent="0.2">
      <c r="B841" s="39"/>
    </row>
    <row r="842" spans="2:2" ht="15.75" customHeight="1" x14ac:dyDescent="0.2">
      <c r="B842" s="39"/>
    </row>
    <row r="843" spans="2:2" ht="15.75" customHeight="1" x14ac:dyDescent="0.2">
      <c r="B843" s="39"/>
    </row>
    <row r="844" spans="2:2" ht="15.75" customHeight="1" x14ac:dyDescent="0.2">
      <c r="B844" s="39"/>
    </row>
    <row r="845" spans="2:2" ht="15.75" customHeight="1" x14ac:dyDescent="0.2">
      <c r="B845" s="39"/>
    </row>
    <row r="846" spans="2:2" ht="15.75" customHeight="1" x14ac:dyDescent="0.2">
      <c r="B846" s="39"/>
    </row>
    <row r="847" spans="2:2" ht="15.75" customHeight="1" x14ac:dyDescent="0.2">
      <c r="B847" s="39"/>
    </row>
    <row r="848" spans="2:2" ht="15.75" customHeight="1" x14ac:dyDescent="0.2">
      <c r="B848" s="39"/>
    </row>
    <row r="849" spans="2:2" ht="15.75" customHeight="1" x14ac:dyDescent="0.2">
      <c r="B849" s="39"/>
    </row>
    <row r="850" spans="2:2" ht="15.75" customHeight="1" x14ac:dyDescent="0.2">
      <c r="B850" s="39"/>
    </row>
    <row r="851" spans="2:2" ht="15.75" customHeight="1" x14ac:dyDescent="0.2">
      <c r="B851" s="39"/>
    </row>
    <row r="852" spans="2:2" ht="15.75" customHeight="1" x14ac:dyDescent="0.2">
      <c r="B852" s="39"/>
    </row>
    <row r="853" spans="2:2" ht="15.75" customHeight="1" x14ac:dyDescent="0.2">
      <c r="B853" s="39"/>
    </row>
    <row r="854" spans="2:2" ht="15.75" customHeight="1" x14ac:dyDescent="0.2">
      <c r="B854" s="39"/>
    </row>
    <row r="855" spans="2:2" ht="15.75" customHeight="1" x14ac:dyDescent="0.2">
      <c r="B855" s="39"/>
    </row>
    <row r="856" spans="2:2" ht="15.75" customHeight="1" x14ac:dyDescent="0.2">
      <c r="B856" s="39"/>
    </row>
    <row r="857" spans="2:2" ht="15.75" customHeight="1" x14ac:dyDescent="0.2">
      <c r="B857" s="39"/>
    </row>
    <row r="858" spans="2:2" ht="15.75" customHeight="1" x14ac:dyDescent="0.2">
      <c r="B858" s="39"/>
    </row>
    <row r="859" spans="2:2" ht="15.75" customHeight="1" x14ac:dyDescent="0.2">
      <c r="B859" s="39"/>
    </row>
    <row r="860" spans="2:2" ht="15.75" customHeight="1" x14ac:dyDescent="0.2">
      <c r="B860" s="39"/>
    </row>
    <row r="861" spans="2:2" ht="15.75" customHeight="1" x14ac:dyDescent="0.2">
      <c r="B861" s="39"/>
    </row>
    <row r="862" spans="2:2" ht="15.75" customHeight="1" x14ac:dyDescent="0.2">
      <c r="B862" s="39"/>
    </row>
    <row r="863" spans="2:2" ht="15.75" customHeight="1" x14ac:dyDescent="0.2">
      <c r="B863" s="39"/>
    </row>
    <row r="864" spans="2:2" ht="15.75" customHeight="1" x14ac:dyDescent="0.2">
      <c r="B864" s="39"/>
    </row>
    <row r="865" spans="2:2" ht="15.75" customHeight="1" x14ac:dyDescent="0.2">
      <c r="B865" s="39"/>
    </row>
    <row r="866" spans="2:2" ht="15.75" customHeight="1" x14ac:dyDescent="0.2">
      <c r="B866" s="39"/>
    </row>
    <row r="867" spans="2:2" ht="15.75" customHeight="1" x14ac:dyDescent="0.2">
      <c r="B867" s="39"/>
    </row>
    <row r="868" spans="2:2" ht="15.75" customHeight="1" x14ac:dyDescent="0.2">
      <c r="B868" s="39"/>
    </row>
    <row r="869" spans="2:2" ht="15.75" customHeight="1" x14ac:dyDescent="0.2">
      <c r="B869" s="39"/>
    </row>
    <row r="870" spans="2:2" ht="15.75" customHeight="1" x14ac:dyDescent="0.2">
      <c r="B870" s="39"/>
    </row>
    <row r="871" spans="2:2" ht="15.75" customHeight="1" x14ac:dyDescent="0.2">
      <c r="B871" s="39"/>
    </row>
    <row r="872" spans="2:2" ht="15.75" customHeight="1" x14ac:dyDescent="0.2">
      <c r="B872" s="39"/>
    </row>
    <row r="873" spans="2:2" ht="15.75" customHeight="1" x14ac:dyDescent="0.2">
      <c r="B873" s="39"/>
    </row>
    <row r="874" spans="2:2" ht="15.75" customHeight="1" x14ac:dyDescent="0.2">
      <c r="B874" s="39"/>
    </row>
    <row r="875" spans="2:2" ht="15.75" customHeight="1" x14ac:dyDescent="0.2">
      <c r="B875" s="39"/>
    </row>
    <row r="876" spans="2:2" ht="15.75" customHeight="1" x14ac:dyDescent="0.2">
      <c r="B876" s="39"/>
    </row>
    <row r="877" spans="2:2" ht="15.75" customHeight="1" x14ac:dyDescent="0.2">
      <c r="B877" s="39"/>
    </row>
    <row r="878" spans="2:2" ht="15.75" customHeight="1" x14ac:dyDescent="0.2">
      <c r="B878" s="39"/>
    </row>
    <row r="879" spans="2:2" ht="15.75" customHeight="1" x14ac:dyDescent="0.2">
      <c r="B879" s="39"/>
    </row>
    <row r="880" spans="2:2" ht="15.75" customHeight="1" x14ac:dyDescent="0.2">
      <c r="B880" s="39"/>
    </row>
    <row r="881" spans="2:2" ht="15.75" customHeight="1" x14ac:dyDescent="0.2">
      <c r="B881" s="39"/>
    </row>
    <row r="882" spans="2:2" ht="15.75" customHeight="1" x14ac:dyDescent="0.2">
      <c r="B882" s="39"/>
    </row>
    <row r="883" spans="2:2" ht="15.75" customHeight="1" x14ac:dyDescent="0.2">
      <c r="B883" s="39"/>
    </row>
    <row r="884" spans="2:2" ht="15.75" customHeight="1" x14ac:dyDescent="0.2">
      <c r="B884" s="39"/>
    </row>
    <row r="885" spans="2:2" ht="15.75" customHeight="1" x14ac:dyDescent="0.2">
      <c r="B885" s="39"/>
    </row>
    <row r="886" spans="2:2" ht="15.75" customHeight="1" x14ac:dyDescent="0.2">
      <c r="B886" s="39"/>
    </row>
    <row r="887" spans="2:2" ht="15.75" customHeight="1" x14ac:dyDescent="0.2">
      <c r="B887" s="39"/>
    </row>
    <row r="888" spans="2:2" ht="15.75" customHeight="1" x14ac:dyDescent="0.2">
      <c r="B888" s="39"/>
    </row>
    <row r="889" spans="2:2" ht="15.75" customHeight="1" x14ac:dyDescent="0.2">
      <c r="B889" s="39"/>
    </row>
    <row r="890" spans="2:2" ht="15.75" customHeight="1" x14ac:dyDescent="0.2">
      <c r="B890" s="39"/>
    </row>
    <row r="891" spans="2:2" ht="15.75" customHeight="1" x14ac:dyDescent="0.2">
      <c r="B891" s="39"/>
    </row>
    <row r="892" spans="2:2" ht="15.75" customHeight="1" x14ac:dyDescent="0.2">
      <c r="B892" s="39"/>
    </row>
    <row r="893" spans="2:2" ht="15.75" customHeight="1" x14ac:dyDescent="0.2">
      <c r="B893" s="39"/>
    </row>
    <row r="894" spans="2:2" ht="15.75" customHeight="1" x14ac:dyDescent="0.2">
      <c r="B894" s="39"/>
    </row>
    <row r="895" spans="2:2" ht="15.75" customHeight="1" x14ac:dyDescent="0.2">
      <c r="B895" s="39"/>
    </row>
    <row r="896" spans="2:2" ht="15.75" customHeight="1" x14ac:dyDescent="0.2">
      <c r="B896" s="39"/>
    </row>
    <row r="897" spans="2:2" ht="15.75" customHeight="1" x14ac:dyDescent="0.2">
      <c r="B897" s="39"/>
    </row>
    <row r="898" spans="2:2" ht="15.75" customHeight="1" x14ac:dyDescent="0.2">
      <c r="B898" s="39"/>
    </row>
    <row r="899" spans="2:2" ht="15.75" customHeight="1" x14ac:dyDescent="0.2">
      <c r="B899" s="39"/>
    </row>
    <row r="900" spans="2:2" ht="15.75" customHeight="1" x14ac:dyDescent="0.2">
      <c r="B900" s="39"/>
    </row>
    <row r="901" spans="2:2" ht="15.75" customHeight="1" x14ac:dyDescent="0.2">
      <c r="B901" s="39"/>
    </row>
    <row r="902" spans="2:2" ht="15.75" customHeight="1" x14ac:dyDescent="0.2">
      <c r="B902" s="39"/>
    </row>
    <row r="903" spans="2:2" ht="15.75" customHeight="1" x14ac:dyDescent="0.2">
      <c r="B903" s="39"/>
    </row>
    <row r="904" spans="2:2" ht="15.75" customHeight="1" x14ac:dyDescent="0.2">
      <c r="B904" s="39"/>
    </row>
    <row r="905" spans="2:2" ht="15.75" customHeight="1" x14ac:dyDescent="0.2">
      <c r="B905" s="39"/>
    </row>
    <row r="906" spans="2:2" ht="15.75" customHeight="1" x14ac:dyDescent="0.2">
      <c r="B906" s="39"/>
    </row>
    <row r="907" spans="2:2" ht="15.75" customHeight="1" x14ac:dyDescent="0.2">
      <c r="B907" s="39"/>
    </row>
    <row r="908" spans="2:2" ht="15.75" customHeight="1" x14ac:dyDescent="0.2">
      <c r="B908" s="39"/>
    </row>
    <row r="909" spans="2:2" ht="15.75" customHeight="1" x14ac:dyDescent="0.2">
      <c r="B909" s="39"/>
    </row>
    <row r="910" spans="2:2" ht="15.75" customHeight="1" x14ac:dyDescent="0.2">
      <c r="B910" s="39"/>
    </row>
    <row r="911" spans="2:2" ht="15.75" customHeight="1" x14ac:dyDescent="0.2">
      <c r="B911" s="39"/>
    </row>
    <row r="912" spans="2:2" ht="15.75" customHeight="1" x14ac:dyDescent="0.2">
      <c r="B912" s="39"/>
    </row>
    <row r="913" spans="2:2" ht="15.75" customHeight="1" x14ac:dyDescent="0.2">
      <c r="B913" s="39"/>
    </row>
    <row r="914" spans="2:2" ht="15.75" customHeight="1" x14ac:dyDescent="0.2">
      <c r="B914" s="39"/>
    </row>
    <row r="915" spans="2:2" ht="15.75" customHeight="1" x14ac:dyDescent="0.2">
      <c r="B915" s="39"/>
    </row>
    <row r="916" spans="2:2" ht="15.75" customHeight="1" x14ac:dyDescent="0.2">
      <c r="B916" s="39"/>
    </row>
    <row r="917" spans="2:2" ht="15.75" customHeight="1" x14ac:dyDescent="0.2">
      <c r="B917" s="39"/>
    </row>
    <row r="918" spans="2:2" ht="15.75" customHeight="1" x14ac:dyDescent="0.2">
      <c r="B918" s="39"/>
    </row>
    <row r="919" spans="2:2" ht="15.75" customHeight="1" x14ac:dyDescent="0.2">
      <c r="B919" s="39"/>
    </row>
    <row r="920" spans="2:2" ht="15.75" customHeight="1" x14ac:dyDescent="0.2">
      <c r="B920" s="39"/>
    </row>
    <row r="921" spans="2:2" ht="15.75" customHeight="1" x14ac:dyDescent="0.2">
      <c r="B921" s="39"/>
    </row>
    <row r="922" spans="2:2" ht="15.75" customHeight="1" x14ac:dyDescent="0.2">
      <c r="B922" s="39"/>
    </row>
    <row r="923" spans="2:2" ht="15.75" customHeight="1" x14ac:dyDescent="0.2">
      <c r="B923" s="39"/>
    </row>
    <row r="924" spans="2:2" ht="15.75" customHeight="1" x14ac:dyDescent="0.2">
      <c r="B924" s="39"/>
    </row>
    <row r="925" spans="2:2" ht="15.75" customHeight="1" x14ac:dyDescent="0.2">
      <c r="B925" s="39"/>
    </row>
    <row r="926" spans="2:2" ht="15.75" customHeight="1" x14ac:dyDescent="0.2">
      <c r="B926" s="39"/>
    </row>
    <row r="927" spans="2:2" ht="15.75" customHeight="1" x14ac:dyDescent="0.2">
      <c r="B927" s="39"/>
    </row>
    <row r="928" spans="2:2" ht="15.75" customHeight="1" x14ac:dyDescent="0.2">
      <c r="B928" s="39"/>
    </row>
    <row r="929" spans="2:2" ht="15.75" customHeight="1" x14ac:dyDescent="0.2">
      <c r="B929" s="39"/>
    </row>
    <row r="930" spans="2:2" ht="15.75" customHeight="1" x14ac:dyDescent="0.2">
      <c r="B930" s="39"/>
    </row>
    <row r="931" spans="2:2" ht="15.75" customHeight="1" x14ac:dyDescent="0.2">
      <c r="B931" s="39"/>
    </row>
    <row r="932" spans="2:2" ht="15.75" customHeight="1" x14ac:dyDescent="0.2">
      <c r="B932" s="39"/>
    </row>
    <row r="933" spans="2:2" ht="15.75" customHeight="1" x14ac:dyDescent="0.2">
      <c r="B933" s="39"/>
    </row>
    <row r="934" spans="2:2" ht="15.75" customHeight="1" x14ac:dyDescent="0.2">
      <c r="B934" s="39"/>
    </row>
    <row r="935" spans="2:2" ht="15.75" customHeight="1" x14ac:dyDescent="0.2">
      <c r="B935" s="39"/>
    </row>
    <row r="936" spans="2:2" ht="15.75" customHeight="1" x14ac:dyDescent="0.2">
      <c r="B936" s="39"/>
    </row>
    <row r="937" spans="2:2" ht="15.75" customHeight="1" x14ac:dyDescent="0.2">
      <c r="B937" s="39"/>
    </row>
    <row r="938" spans="2:2" ht="15.75" customHeight="1" x14ac:dyDescent="0.2">
      <c r="B938" s="39"/>
    </row>
    <row r="939" spans="2:2" ht="15.75" customHeight="1" x14ac:dyDescent="0.2">
      <c r="B939" s="39"/>
    </row>
    <row r="940" spans="2:2" ht="15.75" customHeight="1" x14ac:dyDescent="0.2">
      <c r="B940" s="39"/>
    </row>
    <row r="941" spans="2:2" ht="15.75" customHeight="1" x14ac:dyDescent="0.2">
      <c r="B941" s="39"/>
    </row>
    <row r="942" spans="2:2" ht="15.75" customHeight="1" x14ac:dyDescent="0.2">
      <c r="B942" s="39"/>
    </row>
    <row r="943" spans="2:2" ht="15.75" customHeight="1" x14ac:dyDescent="0.2">
      <c r="B943" s="39"/>
    </row>
    <row r="944" spans="2:2" ht="15.75" customHeight="1" x14ac:dyDescent="0.2">
      <c r="B944" s="39"/>
    </row>
    <row r="945" spans="2:2" ht="15.75" customHeight="1" x14ac:dyDescent="0.2">
      <c r="B945" s="39"/>
    </row>
    <row r="946" spans="2:2" ht="15.75" customHeight="1" x14ac:dyDescent="0.2">
      <c r="B946" s="39"/>
    </row>
    <row r="947" spans="2:2" ht="15.75" customHeight="1" x14ac:dyDescent="0.2">
      <c r="B947" s="39"/>
    </row>
    <row r="948" spans="2:2" ht="15.75" customHeight="1" x14ac:dyDescent="0.2">
      <c r="B948" s="39"/>
    </row>
    <row r="949" spans="2:2" ht="15.75" customHeight="1" x14ac:dyDescent="0.2">
      <c r="B949" s="39"/>
    </row>
    <row r="950" spans="2:2" ht="15.75" customHeight="1" x14ac:dyDescent="0.2">
      <c r="B950" s="39"/>
    </row>
    <row r="951" spans="2:2" ht="15.75" customHeight="1" x14ac:dyDescent="0.2">
      <c r="B951" s="39"/>
    </row>
    <row r="952" spans="2:2" ht="15.75" customHeight="1" x14ac:dyDescent="0.2">
      <c r="B952" s="39"/>
    </row>
    <row r="953" spans="2:2" ht="15.75" customHeight="1" x14ac:dyDescent="0.2">
      <c r="B953" s="39"/>
    </row>
    <row r="954" spans="2:2" ht="15.75" customHeight="1" x14ac:dyDescent="0.2">
      <c r="B954" s="39"/>
    </row>
    <row r="955" spans="2:2" ht="15.75" customHeight="1" x14ac:dyDescent="0.2">
      <c r="B955" s="39"/>
    </row>
    <row r="956" spans="2:2" ht="15.75" customHeight="1" x14ac:dyDescent="0.2">
      <c r="B956" s="39"/>
    </row>
    <row r="957" spans="2:2" ht="15.75" customHeight="1" x14ac:dyDescent="0.2">
      <c r="B957" s="39"/>
    </row>
    <row r="958" spans="2:2" ht="15.75" customHeight="1" x14ac:dyDescent="0.2">
      <c r="B958" s="39"/>
    </row>
    <row r="959" spans="2:2" ht="15.75" customHeight="1" x14ac:dyDescent="0.2">
      <c r="B959" s="39"/>
    </row>
    <row r="960" spans="2:2" ht="15.75" customHeight="1" x14ac:dyDescent="0.2">
      <c r="B960" s="39"/>
    </row>
    <row r="961" spans="2:2" ht="15.75" customHeight="1" x14ac:dyDescent="0.2">
      <c r="B961" s="39"/>
    </row>
    <row r="962" spans="2:2" ht="15.75" customHeight="1" x14ac:dyDescent="0.2">
      <c r="B962" s="39"/>
    </row>
    <row r="963" spans="2:2" ht="15.75" customHeight="1" x14ac:dyDescent="0.2">
      <c r="B963" s="39"/>
    </row>
    <row r="964" spans="2:2" ht="15.75" customHeight="1" x14ac:dyDescent="0.2">
      <c r="B964" s="39"/>
    </row>
    <row r="965" spans="2:2" ht="15.75" customHeight="1" x14ac:dyDescent="0.2">
      <c r="B965" s="39"/>
    </row>
    <row r="966" spans="2:2" ht="15.75" customHeight="1" x14ac:dyDescent="0.2">
      <c r="B966" s="39"/>
    </row>
    <row r="967" spans="2:2" ht="15.75" customHeight="1" x14ac:dyDescent="0.2">
      <c r="B967" s="39"/>
    </row>
    <row r="968" spans="2:2" ht="15.75" customHeight="1" x14ac:dyDescent="0.2">
      <c r="B968" s="39"/>
    </row>
    <row r="969" spans="2:2" ht="15.75" customHeight="1" x14ac:dyDescent="0.2">
      <c r="B969" s="39"/>
    </row>
    <row r="970" spans="2:2" ht="15.75" customHeight="1" x14ac:dyDescent="0.2">
      <c r="B970" s="39"/>
    </row>
    <row r="971" spans="2:2" ht="15.75" customHeight="1" x14ac:dyDescent="0.2">
      <c r="B971" s="39"/>
    </row>
    <row r="972" spans="2:2" ht="15.75" customHeight="1" x14ac:dyDescent="0.2">
      <c r="B972" s="39"/>
    </row>
    <row r="973" spans="2:2" ht="15.75" customHeight="1" x14ac:dyDescent="0.2">
      <c r="B973" s="39"/>
    </row>
    <row r="974" spans="2:2" ht="15.75" customHeight="1" x14ac:dyDescent="0.2">
      <c r="B974" s="39"/>
    </row>
    <row r="975" spans="2:2" ht="15.75" customHeight="1" x14ac:dyDescent="0.2">
      <c r="B975" s="39"/>
    </row>
    <row r="976" spans="2:2" ht="15.75" customHeight="1" x14ac:dyDescent="0.2">
      <c r="B976" s="39"/>
    </row>
    <row r="977" spans="2:2" ht="15.75" customHeight="1" x14ac:dyDescent="0.2">
      <c r="B977" s="39"/>
    </row>
    <row r="978" spans="2:2" ht="15.75" customHeight="1" x14ac:dyDescent="0.2">
      <c r="B978" s="39"/>
    </row>
    <row r="979" spans="2:2" ht="15.75" customHeight="1" x14ac:dyDescent="0.2">
      <c r="B979" s="39"/>
    </row>
    <row r="980" spans="2:2" ht="15.75" customHeight="1" x14ac:dyDescent="0.2">
      <c r="B980" s="39"/>
    </row>
    <row r="981" spans="2:2" ht="15.75" customHeight="1" x14ac:dyDescent="0.2">
      <c r="B981" s="39"/>
    </row>
    <row r="982" spans="2:2" ht="15.75" customHeight="1" x14ac:dyDescent="0.2">
      <c r="B982" s="39"/>
    </row>
    <row r="983" spans="2:2" ht="15.75" customHeight="1" x14ac:dyDescent="0.2">
      <c r="B983" s="39"/>
    </row>
    <row r="984" spans="2:2" ht="15.75" customHeight="1" x14ac:dyDescent="0.2">
      <c r="B984" s="39"/>
    </row>
    <row r="985" spans="2:2" ht="15.75" customHeight="1" x14ac:dyDescent="0.2">
      <c r="B985" s="39"/>
    </row>
    <row r="986" spans="2:2" ht="15.75" customHeight="1" x14ac:dyDescent="0.2">
      <c r="B986" s="39"/>
    </row>
    <row r="987" spans="2:2" ht="15.75" customHeight="1" x14ac:dyDescent="0.2">
      <c r="B987" s="39"/>
    </row>
    <row r="988" spans="2:2" ht="15.75" customHeight="1" x14ac:dyDescent="0.2">
      <c r="B988" s="39"/>
    </row>
    <row r="989" spans="2:2" ht="15.75" customHeight="1" x14ac:dyDescent="0.2">
      <c r="B989" s="39"/>
    </row>
    <row r="990" spans="2:2" ht="15.75" customHeight="1" x14ac:dyDescent="0.2">
      <c r="B990" s="39"/>
    </row>
    <row r="991" spans="2:2" ht="15.75" customHeight="1" x14ac:dyDescent="0.2">
      <c r="B991" s="39"/>
    </row>
    <row r="992" spans="2:2" ht="15.75" customHeight="1" x14ac:dyDescent="0.2">
      <c r="B992" s="39"/>
    </row>
    <row r="993" spans="2:2" ht="15.75" customHeight="1" x14ac:dyDescent="0.2">
      <c r="B993" s="39"/>
    </row>
    <row r="994" spans="2:2" ht="15.75" customHeight="1" x14ac:dyDescent="0.2">
      <c r="B994" s="39"/>
    </row>
    <row r="995" spans="2:2" ht="15.75" customHeight="1" x14ac:dyDescent="0.2">
      <c r="B995" s="39"/>
    </row>
    <row r="996" spans="2:2" ht="15.75" customHeight="1" x14ac:dyDescent="0.2">
      <c r="B996" s="39"/>
    </row>
    <row r="997" spans="2:2" ht="15.75" customHeight="1" x14ac:dyDescent="0.2">
      <c r="B997" s="39"/>
    </row>
    <row r="998" spans="2:2" ht="15.75" customHeight="1" x14ac:dyDescent="0.2">
      <c r="B998" s="39"/>
    </row>
  </sheetData>
  <hyperlinks>
    <hyperlink ref="B10" r:id="rId1" xr:uid="{00000000-0004-0000-0400-000000000000}"/>
    <hyperlink ref="B11" r:id="rId2" xr:uid="{00000000-0004-0000-0400-000001000000}"/>
    <hyperlink ref="B16" r:id="rId3" xr:uid="{00000000-0004-0000-0400-000002000000}"/>
    <hyperlink ref="B18" r:id="rId4" xr:uid="{00000000-0004-0000-0400-000003000000}"/>
    <hyperlink ref="B22" r:id="rId5" xr:uid="{00000000-0004-0000-0400-000004000000}"/>
    <hyperlink ref="B27" r:id="rId6" xr:uid="{00000000-0004-0000-0400-000005000000}"/>
    <hyperlink ref="B29" r:id="rId7" xr:uid="{00000000-0004-0000-0400-000006000000}"/>
    <hyperlink ref="B36" r:id="rId8" xr:uid="{00000000-0004-0000-0400-000007000000}"/>
    <hyperlink ref="B41" r:id="rId9" xr:uid="{00000000-0004-0000-0400-000008000000}"/>
    <hyperlink ref="B43" r:id="rId10" xr:uid="{00000000-0004-0000-0400-000009000000}"/>
    <hyperlink ref="B50" r:id="rId11" xr:uid="{00000000-0004-0000-0400-00000A000000}"/>
    <hyperlink ref="B55" r:id="rId12" xr:uid="{00000000-0004-0000-0400-00000B000000}"/>
    <hyperlink ref="B57" r:id="rId13" xr:uid="{00000000-0004-0000-0400-00000C000000}"/>
    <hyperlink ref="B64" r:id="rId14" xr:uid="{00000000-0004-0000-0400-00000D000000}"/>
    <hyperlink ref="B70" r:id="rId15" xr:uid="{00000000-0004-0000-0400-00000E000000}"/>
    <hyperlink ref="B74" r:id="rId16" xr:uid="{00000000-0004-0000-0400-00000F000000}"/>
    <hyperlink ref="B75" r:id="rId17" xr:uid="{00000000-0004-0000-0400-000010000000}"/>
    <hyperlink ref="B76" r:id="rId18" xr:uid="{00000000-0004-0000-0400-000011000000}"/>
    <hyperlink ref="B82" r:id="rId19" location=":~:text=Membership%20fees%20vary%20widely%20based,month%2C%20or%20%24696%20per%20year." xr:uid="{00000000-0004-0000-0400-000012000000}"/>
    <hyperlink ref="B86" r:id="rId20" xr:uid="{00000000-0004-0000-0400-000013000000}"/>
    <hyperlink ref="B87" r:id="rId21" xr:uid="{00000000-0004-0000-0400-000014000000}"/>
    <hyperlink ref="B88" r:id="rId22" xr:uid="{00000000-0004-0000-0400-000015000000}"/>
    <hyperlink ref="B93" r:id="rId23" location=":~:text=A%20standard%20parking%20space%20is,feet%20(7.3%20meters)%20wide." xr:uid="{00000000-0004-0000-0400-000016000000}"/>
    <hyperlink ref="B95" r:id="rId24" location=":~:text=However%2C%20the%20national%20average%20cost,on%20their%20total%20square%20footage." xr:uid="{00000000-0004-0000-0400-000017000000}"/>
    <hyperlink ref="B97" r:id="rId25" xr:uid="{00000000-0004-0000-0400-000018000000}"/>
    <hyperlink ref="B99" r:id="rId26" location=":~:text=Over%20the%20past%203%20years,reach%20%2413.1%20billion%20in%20revenue." xr:uid="{00000000-0004-0000-0400-000019000000}"/>
    <hyperlink ref="B100" r:id="rId27" location=":~:text=Parking%20experts%20generally%20agree%20that,that%20pricing%20is%20too%20high." xr:uid="{00000000-0004-0000-0400-00001A000000}"/>
    <hyperlink ref="B104" r:id="rId28" xr:uid="{00000000-0004-0000-0400-00001B000000}"/>
    <hyperlink ref="B105" r:id="rId29" xr:uid="{00000000-0004-0000-0400-00001C000000}"/>
    <hyperlink ref="B106" r:id="rId30" xr:uid="{00000000-0004-0000-0400-00001D000000}"/>
    <hyperlink ref="B107" r:id="rId31" xr:uid="{00000000-0004-0000-0400-00001E000000}"/>
    <hyperlink ref="B108" r:id="rId32" xr:uid="{00000000-0004-0000-0400-00001F000000}"/>
    <hyperlink ref="B109" r:id="rId33" location=":~:text=How%20Much%20Do%20Janitorial%20Services,space%20needs%20to%20be%20cleaned." xr:uid="{00000000-0004-0000-0400-000020000000}"/>
    <hyperlink ref="B110" r:id="rId34" xr:uid="{00000000-0004-0000-0400-000021000000}"/>
    <hyperlink ref="B113" r:id="rId35" xr:uid="{00000000-0004-0000-0400-000022000000}"/>
    <hyperlink ref="B115" r:id="rId36" xr:uid="{00000000-0004-0000-0400-000023000000}"/>
    <hyperlink ref="B116" r:id="rId37" xr:uid="{582E702E-662D-2743-8F35-FF4189877318}"/>
  </hyperlinks>
  <pageMargins left="0.7" right="0.7" top="0.75" bottom="0.75" header="0" footer="0"/>
  <pageSetup orientation="landscape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Read Me</vt:lpstr>
      <vt:lpstr>Assumptions</vt:lpstr>
      <vt:lpstr>Pro Forma</vt:lpstr>
      <vt:lpstr>30 Year Fixed Mortgage (USED)</vt:lpstr>
      <vt:lpstr>Interest Only Mortgage (UNUSED)</vt:lpstr>
      <vt:lpstr>Depreciation Schedule</vt:lpstr>
      <vt:lpstr>Sensitivity Analysis</vt:lpstr>
      <vt:lpstr>Works Cited</vt:lpstr>
      <vt:lpstr>CapRate</vt:lpstr>
      <vt:lpstr>'Interest Only Mortgage (UNUSED)'!captax</vt:lpstr>
      <vt:lpstr>captax</vt:lpstr>
      <vt:lpstr>'Interest Only Mortgage (UNUSED)'!depcostbasis</vt:lpstr>
      <vt:lpstr>depcostbasis</vt:lpstr>
      <vt:lpstr>'Interest Only Mortgage (UNUSED)'!deplife</vt:lpstr>
      <vt:lpstr>deplife</vt:lpstr>
      <vt:lpstr>FirstYearIncome</vt:lpstr>
      <vt:lpstr>'Interest Only Mortgage (UNUSED)'!growthrate</vt:lpstr>
      <vt:lpstr>growthrate</vt:lpstr>
      <vt:lpstr>'Interest Only Mortgage (UNUSED)'!OrdTax</vt:lpstr>
      <vt:lpstr>OrdTax</vt:lpstr>
      <vt:lpstr>'Interest Only Mortgage (UNUSED)'!purchaseprice</vt:lpstr>
      <vt:lpstr>purchaseprice</vt:lpstr>
      <vt:lpstr>TotalYears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2020-11-07T23:28:39Z</dcterms:created>
  <dcterms:modified xsi:type="dcterms:W3CDTF">2020-12-03T05:09:14Z</dcterms:modified>
</cp:coreProperties>
</file>